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mc:AlternateContent xmlns:mc="http://schemas.openxmlformats.org/markup-compatibility/2006">
    <mc:Choice Requires="x15">
      <x15ac:absPath xmlns:x15ac="http://schemas.microsoft.com/office/spreadsheetml/2010/11/ac" url="C:\rw\transfer\ReWiG_GWÖ\GWÖ Orga\Peergroup Landsberg\Arbeitsmittel\"/>
    </mc:Choice>
  </mc:AlternateContent>
  <xr:revisionPtr revIDLastSave="0" documentId="13_ncr:1_{30F5CBDC-E9C5-44E0-85BD-4A424F8DE6DC}" xr6:coauthVersionLast="37" xr6:coauthVersionMax="37" xr10:uidLastSave="{00000000-0000-0000-0000-000000000000}"/>
  <bookViews>
    <workbookView xWindow="0" yWindow="0" windowWidth="15360" windowHeight="7245" tabRatio="500" xr2:uid="{00000000-000D-0000-FFFF-FFFF00000000}"/>
  </bookViews>
  <sheets>
    <sheet name="0. Intro" sheetId="1" r:id="rId1"/>
    <sheet name="1. General" sheetId="2" r:id="rId2"/>
    <sheet name="2. Company Facts" sheetId="3" r:id="rId3"/>
    <sheet name="3. Calc" sheetId="4" r:id="rId4"/>
    <sheet name="9. Weighting" sheetId="5" state="hidden" r:id="rId5"/>
    <sheet name="4. ECG-Matrix" sheetId="6" r:id="rId6"/>
    <sheet name="5. Values" sheetId="7" r:id="rId7"/>
    <sheet name="6. Stakeholder" sheetId="8" r:id="rId8"/>
    <sheet name="7. Topics" sheetId="9" r:id="rId9"/>
    <sheet name="8. Descr.Weighting" sheetId="10" r:id="rId10"/>
    <sheet name="10. Industry" sheetId="11" state="hidden" r:id="rId11"/>
    <sheet name="11.Region" sheetId="12" state="hidden" r:id="rId12"/>
    <sheet name="12.ppp data" sheetId="15" state="hidden" r:id="rId13"/>
    <sheet name="12.lan" sheetId="13" state="hidden" r:id="rId14"/>
  </sheets>
  <definedNames>
    <definedName name="__xlfn_IFERROR">#N/A</definedName>
    <definedName name="Branche">'10. Industry'!$B$4:$B$32</definedName>
    <definedName name="Branchen">'10. Industry'!$B$4:$B$32</definedName>
    <definedName name="CountryCodes">'11.Region'!$A$22:$A$243</definedName>
    <definedName name="JaNein">'2. Company Facts'!$D$34:$F$34</definedName>
    <definedName name="Regionen">'11.Region'!$A$21:$A$243</definedName>
  </definedNames>
  <calcPr calcId="162913"/>
</workbook>
</file>

<file path=xl/calcChain.xml><?xml version="1.0" encoding="utf-8"?>
<calcChain xmlns="http://schemas.openxmlformats.org/spreadsheetml/2006/main">
  <c r="O60" i="4" l="1"/>
  <c r="D10" i="4" l="1"/>
  <c r="B71" i="4"/>
  <c r="B68" i="4"/>
  <c r="B64" i="4"/>
  <c r="B61" i="4"/>
  <c r="B57" i="4"/>
  <c r="B51" i="4"/>
  <c r="B48" i="4"/>
  <c r="K47" i="4"/>
  <c r="B44" i="4"/>
  <c r="K43" i="4"/>
  <c r="B41" i="4"/>
  <c r="K40" i="4"/>
  <c r="B38" i="4"/>
  <c r="K37" i="4"/>
  <c r="B35" i="4"/>
  <c r="K34" i="4"/>
  <c r="B31" i="4"/>
  <c r="B28" i="4"/>
  <c r="K27" i="4"/>
  <c r="B25" i="4"/>
  <c r="K22" i="4"/>
  <c r="B23" i="4"/>
  <c r="B20" i="4"/>
  <c r="B17" i="4"/>
  <c r="B14" i="4"/>
  <c r="K19" i="4"/>
  <c r="K13" i="4"/>
  <c r="B11" i="4"/>
  <c r="M3" i="1" l="1"/>
  <c r="M4" i="1"/>
  <c r="M5" i="1"/>
  <c r="M6" i="1"/>
  <c r="M7" i="1"/>
  <c r="M8" i="1"/>
  <c r="M9" i="1"/>
  <c r="M10" i="1"/>
  <c r="M11" i="1"/>
  <c r="M12" i="1"/>
  <c r="M2" i="1"/>
  <c r="F43" i="3" l="1"/>
  <c r="D7" i="3"/>
  <c r="I44" i="13"/>
  <c r="J44" i="13"/>
  <c r="K44" i="13"/>
  <c r="C2" i="13"/>
  <c r="C1" i="13" s="1"/>
  <c r="D431" i="13" s="1"/>
  <c r="A114" i="12" s="1"/>
  <c r="C4" i="13"/>
  <c r="C5" i="13"/>
  <c r="C6" i="13"/>
  <c r="C7" i="13"/>
  <c r="C8" i="13"/>
  <c r="C9" i="13"/>
  <c r="C10" i="13"/>
  <c r="C11" i="13"/>
  <c r="C12" i="13"/>
  <c r="C3" i="13"/>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D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H4" i="15"/>
  <c r="H30" i="15"/>
  <c r="H15" i="15"/>
  <c r="H152" i="15"/>
  <c r="H191" i="15"/>
  <c r="H200" i="15"/>
  <c r="H266" i="15"/>
  <c r="H203" i="15"/>
  <c r="H131" i="15"/>
  <c r="H102" i="15"/>
  <c r="H101" i="15"/>
  <c r="H100" i="15"/>
  <c r="H72" i="15"/>
  <c r="H148" i="15"/>
  <c r="H58" i="15"/>
  <c r="H61" i="15"/>
  <c r="H265" i="15"/>
  <c r="H192" i="15"/>
  <c r="H42" i="15"/>
  <c r="H40" i="15"/>
  <c r="H206" i="15"/>
  <c r="H124" i="15"/>
  <c r="H45" i="15"/>
  <c r="H78" i="15"/>
  <c r="H264" i="15"/>
  <c r="H263" i="15"/>
  <c r="H210" i="15"/>
  <c r="H262" i="15"/>
  <c r="H138" i="15"/>
  <c r="H261" i="15"/>
  <c r="H119" i="15"/>
  <c r="H146" i="15"/>
  <c r="H126" i="15"/>
  <c r="H23" i="15"/>
  <c r="H260" i="15"/>
  <c r="H259" i="15"/>
  <c r="H38" i="15"/>
  <c r="H99" i="15"/>
  <c r="H151" i="15"/>
  <c r="H8" i="15"/>
  <c r="H98" i="15"/>
  <c r="H27" i="15"/>
  <c r="H159" i="15"/>
  <c r="H172" i="15"/>
  <c r="H178" i="15"/>
  <c r="H88" i="15"/>
  <c r="H3" i="15"/>
  <c r="H258" i="15"/>
  <c r="H257" i="15"/>
  <c r="H56" i="15"/>
  <c r="H256" i="15"/>
  <c r="H188" i="15"/>
  <c r="H55" i="15"/>
  <c r="H170" i="15"/>
  <c r="H82" i="15"/>
  <c r="H41" i="15"/>
  <c r="H205" i="15"/>
  <c r="H111" i="15"/>
  <c r="H26" i="15"/>
  <c r="H6" i="15"/>
  <c r="H122" i="15"/>
  <c r="H255" i="15"/>
  <c r="H33" i="15"/>
  <c r="H182" i="15"/>
  <c r="H183" i="15"/>
  <c r="H116" i="15"/>
  <c r="H218" i="15"/>
  <c r="H254" i="15"/>
  <c r="H253" i="15"/>
  <c r="H103" i="15"/>
  <c r="H84" i="15"/>
  <c r="H174" i="15"/>
  <c r="H150" i="15"/>
  <c r="H97" i="15"/>
  <c r="H252" i="15"/>
  <c r="H154" i="15"/>
  <c r="H211" i="15"/>
  <c r="H204" i="15"/>
  <c r="H129" i="15"/>
  <c r="H80" i="15"/>
  <c r="H71" i="15"/>
  <c r="H143" i="15"/>
  <c r="H251" i="15"/>
  <c r="H125" i="15"/>
  <c r="H250" i="15"/>
  <c r="H202" i="15"/>
  <c r="H212" i="15"/>
  <c r="H136" i="15"/>
  <c r="H153" i="15"/>
  <c r="H163" i="15"/>
  <c r="H89" i="15"/>
  <c r="H43" i="15"/>
  <c r="H32" i="15"/>
  <c r="H217" i="15"/>
  <c r="H11" i="15"/>
  <c r="H249" i="15"/>
  <c r="H133" i="15"/>
  <c r="H49" i="15"/>
  <c r="H12" i="15"/>
  <c r="H48" i="15"/>
  <c r="H39" i="15"/>
  <c r="H216" i="15"/>
  <c r="H142" i="15"/>
  <c r="H184" i="15"/>
  <c r="H248" i="15"/>
  <c r="H149" i="15"/>
  <c r="H155" i="15"/>
  <c r="H31" i="15"/>
  <c r="H190" i="15"/>
  <c r="H247" i="15"/>
  <c r="H207" i="15"/>
  <c r="H81" i="15"/>
  <c r="H246" i="15"/>
  <c r="H110" i="15"/>
  <c r="H46" i="15"/>
  <c r="H185" i="15"/>
  <c r="H199" i="15"/>
  <c r="H34" i="15"/>
  <c r="H96" i="15"/>
  <c r="H109" i="15"/>
  <c r="H176" i="15"/>
  <c r="H161" i="15"/>
  <c r="H180" i="15"/>
  <c r="H245" i="15"/>
  <c r="H28" i="15"/>
  <c r="H244" i="15"/>
  <c r="H243" i="15"/>
  <c r="H137" i="15"/>
  <c r="H198" i="15"/>
  <c r="H242" i="15"/>
  <c r="H241" i="15"/>
  <c r="H240" i="15"/>
  <c r="H66" i="15"/>
  <c r="H20" i="15"/>
  <c r="H52" i="15"/>
  <c r="H112" i="15"/>
  <c r="H128" i="15"/>
  <c r="H239" i="15"/>
  <c r="H120" i="15"/>
  <c r="H106" i="15"/>
  <c r="H70" i="15"/>
  <c r="H209" i="15"/>
  <c r="H130" i="15"/>
  <c r="H135" i="15"/>
  <c r="H14" i="15"/>
  <c r="H134" i="15"/>
  <c r="H105" i="15"/>
  <c r="H117" i="15"/>
  <c r="H74" i="15"/>
  <c r="H169" i="15"/>
  <c r="H104" i="15"/>
  <c r="H156" i="15"/>
  <c r="H140" i="15"/>
  <c r="H145" i="15"/>
  <c r="H164" i="15"/>
  <c r="H238" i="15"/>
  <c r="H144" i="15"/>
  <c r="H197" i="15"/>
  <c r="H237" i="15"/>
  <c r="H139" i="15"/>
  <c r="H236" i="15"/>
  <c r="H235" i="15"/>
  <c r="H234" i="15"/>
  <c r="H233" i="15"/>
  <c r="H181" i="15"/>
  <c r="H87" i="15"/>
  <c r="H179" i="15"/>
  <c r="H232" i="15"/>
  <c r="H79" i="15"/>
  <c r="H107" i="15"/>
  <c r="H231" i="15"/>
  <c r="H73" i="15"/>
  <c r="H215" i="15"/>
  <c r="H76" i="15"/>
  <c r="H95" i="15"/>
  <c r="H64" i="15"/>
  <c r="H173" i="15"/>
  <c r="H22" i="15"/>
  <c r="H17" i="15"/>
  <c r="H47" i="15"/>
  <c r="H29" i="15"/>
  <c r="H196" i="15"/>
  <c r="H37" i="15"/>
  <c r="H123" i="15"/>
  <c r="H165" i="15"/>
  <c r="H21" i="15"/>
  <c r="H208" i="15"/>
  <c r="H195" i="15"/>
  <c r="H167" i="15"/>
  <c r="H213" i="15"/>
  <c r="H160" i="15"/>
  <c r="H230" i="15"/>
  <c r="H229" i="15"/>
  <c r="H25" i="15"/>
  <c r="H175" i="15"/>
  <c r="H171" i="15"/>
  <c r="H54" i="15"/>
  <c r="H228" i="15"/>
  <c r="H51" i="15"/>
  <c r="H77" i="15"/>
  <c r="H227" i="15"/>
  <c r="H226" i="15"/>
  <c r="H225" i="15"/>
  <c r="H224" i="15"/>
  <c r="H223" i="15"/>
  <c r="H50" i="15"/>
  <c r="H85" i="15"/>
  <c r="H158" i="15"/>
  <c r="H62" i="15"/>
  <c r="H53" i="15"/>
  <c r="H168" i="15"/>
  <c r="H177" i="15"/>
  <c r="H108" i="15"/>
  <c r="H94" i="15"/>
  <c r="H93" i="15"/>
  <c r="H92" i="15"/>
  <c r="H222" i="15"/>
  <c r="H63" i="15"/>
  <c r="H13" i="15"/>
  <c r="H10" i="15"/>
  <c r="H86" i="15"/>
  <c r="H44" i="15"/>
  <c r="H9" i="15"/>
  <c r="H24" i="15"/>
  <c r="H19" i="15"/>
  <c r="H114" i="15"/>
  <c r="H67" i="15"/>
  <c r="H221" i="15"/>
  <c r="H157" i="15"/>
  <c r="H220" i="15"/>
  <c r="H59" i="15"/>
  <c r="H7" i="15"/>
  <c r="H16" i="15"/>
  <c r="H132" i="15"/>
  <c r="H127" i="15"/>
  <c r="H60" i="15"/>
  <c r="H69" i="15"/>
  <c r="H83" i="15"/>
  <c r="H91" i="15"/>
  <c r="H75" i="15"/>
  <c r="H193" i="15"/>
  <c r="H186" i="15"/>
  <c r="H57" i="15"/>
  <c r="H115" i="15"/>
  <c r="H187" i="15"/>
  <c r="H121" i="15"/>
  <c r="H36" i="15"/>
  <c r="H35" i="15"/>
  <c r="H162" i="15"/>
  <c r="H18" i="15"/>
  <c r="H147" i="15"/>
  <c r="H166" i="15"/>
  <c r="H201" i="15"/>
  <c r="H68" i="15"/>
  <c r="H214" i="15"/>
  <c r="H118" i="15"/>
  <c r="H65" i="15"/>
  <c r="H113" i="15"/>
  <c r="H219" i="15"/>
  <c r="H194" i="15"/>
  <c r="H189" i="15"/>
  <c r="H5" i="15"/>
  <c r="H141" i="15"/>
  <c r="H90" i="15"/>
  <c r="G4" i="15"/>
  <c r="G30" i="15"/>
  <c r="I30" i="15" s="1"/>
  <c r="C236" i="12" s="1"/>
  <c r="G15" i="15"/>
  <c r="I15" i="15" s="1"/>
  <c r="C235" i="12" s="1"/>
  <c r="G152" i="15"/>
  <c r="G191" i="15"/>
  <c r="I191" i="15" s="1"/>
  <c r="C233" i="12" s="1"/>
  <c r="G200" i="15"/>
  <c r="I200" i="15" s="1"/>
  <c r="C232" i="12" s="1"/>
  <c r="G266" i="15"/>
  <c r="G203" i="15"/>
  <c r="I203" i="15" s="1"/>
  <c r="C231" i="12" s="1"/>
  <c r="G131" i="15"/>
  <c r="I131" i="15" s="1"/>
  <c r="C230" i="12" s="1"/>
  <c r="G102" i="15"/>
  <c r="G101" i="15"/>
  <c r="G100" i="15"/>
  <c r="G72" i="15"/>
  <c r="I72" i="15" s="1"/>
  <c r="C226" i="12" s="1"/>
  <c r="G148" i="15"/>
  <c r="I148" i="15" s="1"/>
  <c r="C225" i="12" s="1"/>
  <c r="G58" i="15"/>
  <c r="I58" i="15" s="1"/>
  <c r="C224" i="12" s="1"/>
  <c r="G61" i="15"/>
  <c r="I61" i="15" s="1"/>
  <c r="C223" i="12" s="1"/>
  <c r="G265" i="15"/>
  <c r="G192" i="15"/>
  <c r="I192" i="15" s="1"/>
  <c r="C222" i="12" s="1"/>
  <c r="G42" i="15"/>
  <c r="I42" i="15" s="1"/>
  <c r="C221" i="12" s="1"/>
  <c r="G40" i="15"/>
  <c r="I40" i="15" s="1"/>
  <c r="C220" i="12" s="1"/>
  <c r="G206" i="15"/>
  <c r="I206" i="15" s="1"/>
  <c r="C219" i="12" s="1"/>
  <c r="G124" i="15"/>
  <c r="I124" i="15" s="1"/>
  <c r="C218" i="12" s="1"/>
  <c r="G45" i="15"/>
  <c r="I45" i="15" s="1"/>
  <c r="C217" i="12" s="1"/>
  <c r="G78" i="15"/>
  <c r="I78" i="15" s="1"/>
  <c r="C216" i="12" s="1"/>
  <c r="G264" i="15"/>
  <c r="G263" i="15"/>
  <c r="G210" i="15"/>
  <c r="I210" i="15" s="1"/>
  <c r="C215" i="12" s="1"/>
  <c r="G262" i="15"/>
  <c r="G138" i="15"/>
  <c r="I138" i="15" s="1"/>
  <c r="C214" i="12" s="1"/>
  <c r="G261" i="15"/>
  <c r="G119" i="15"/>
  <c r="I119" i="15" s="1"/>
  <c r="C213" i="12" s="1"/>
  <c r="G146" i="15"/>
  <c r="I146" i="15" s="1"/>
  <c r="C212" i="12" s="1"/>
  <c r="G126" i="15"/>
  <c r="I126" i="15" s="1"/>
  <c r="C211" i="12" s="1"/>
  <c r="G23" i="15"/>
  <c r="I23" i="15" s="1"/>
  <c r="C210" i="12" s="1"/>
  <c r="G260" i="15"/>
  <c r="G259" i="15"/>
  <c r="G38" i="15"/>
  <c r="I38" i="15" s="1"/>
  <c r="C209" i="12" s="1"/>
  <c r="G99" i="15"/>
  <c r="G151" i="15"/>
  <c r="G8" i="15"/>
  <c r="I8" i="15" s="1"/>
  <c r="C206" i="12" s="1"/>
  <c r="G98" i="15"/>
  <c r="G27" i="15"/>
  <c r="I27" i="15" s="1"/>
  <c r="C204" i="12" s="1"/>
  <c r="G159" i="15"/>
  <c r="I159" i="15" s="1"/>
  <c r="C203" i="12" s="1"/>
  <c r="G88" i="15"/>
  <c r="I88" i="15" s="1"/>
  <c r="C200" i="12" s="1"/>
  <c r="G3" i="15"/>
  <c r="G258" i="15"/>
  <c r="G257" i="15"/>
  <c r="G56" i="15"/>
  <c r="G256" i="15"/>
  <c r="G188" i="15"/>
  <c r="I188" i="15" s="1"/>
  <c r="C197" i="12" s="1"/>
  <c r="G55" i="15"/>
  <c r="G82" i="15"/>
  <c r="I82" i="15" s="1"/>
  <c r="C194" i="12" s="1"/>
  <c r="G41" i="15"/>
  <c r="I41" i="15" s="1"/>
  <c r="C193" i="12" s="1"/>
  <c r="G205" i="15"/>
  <c r="I205" i="15" s="1"/>
  <c r="C192" i="12" s="1"/>
  <c r="G111" i="15"/>
  <c r="I111" i="15" s="1"/>
  <c r="C191" i="12" s="1"/>
  <c r="G26" i="15"/>
  <c r="I26" i="15" s="1"/>
  <c r="C190" i="12" s="1"/>
  <c r="G6" i="15"/>
  <c r="I6" i="15" s="1"/>
  <c r="C189" i="12" s="1"/>
  <c r="G122" i="15"/>
  <c r="I122" i="15" s="1"/>
  <c r="C188" i="12" s="1"/>
  <c r="G255" i="15"/>
  <c r="G33" i="15"/>
  <c r="I33" i="15" s="1"/>
  <c r="C187" i="12" s="1"/>
  <c r="G182" i="15"/>
  <c r="I182" i="15" s="1"/>
  <c r="C186" i="12" s="1"/>
  <c r="G183" i="15"/>
  <c r="I183" i="15" s="1"/>
  <c r="C185" i="12" s="1"/>
  <c r="G116" i="15"/>
  <c r="I116" i="15" s="1"/>
  <c r="C184" i="12" s="1"/>
  <c r="G218" i="15"/>
  <c r="G254" i="15"/>
  <c r="G253" i="15"/>
  <c r="G103" i="15"/>
  <c r="G84" i="15"/>
  <c r="I84" i="15" s="1"/>
  <c r="C181" i="12" s="1"/>
  <c r="G150" i="15"/>
  <c r="G97" i="15"/>
  <c r="G252" i="15"/>
  <c r="G154" i="15"/>
  <c r="I154" i="15" s="1"/>
  <c r="C177" i="12" s="1"/>
  <c r="G211" i="15"/>
  <c r="I211" i="15" s="1"/>
  <c r="C176" i="12" s="1"/>
  <c r="G204" i="15"/>
  <c r="I204" i="15" s="1"/>
  <c r="C175" i="12" s="1"/>
  <c r="G129" i="15"/>
  <c r="I129" i="15" s="1"/>
  <c r="C174" i="12" s="1"/>
  <c r="G80" i="15"/>
  <c r="I80" i="15" s="1"/>
  <c r="C173" i="12" s="1"/>
  <c r="G71" i="15"/>
  <c r="I71" i="15" s="1"/>
  <c r="C172" i="12" s="1"/>
  <c r="G143" i="15"/>
  <c r="I143" i="15" s="1"/>
  <c r="C171" i="12" s="1"/>
  <c r="G251" i="15"/>
  <c r="G125" i="15"/>
  <c r="I125" i="15" s="1"/>
  <c r="C170" i="12" s="1"/>
  <c r="G250" i="15"/>
  <c r="G202" i="15"/>
  <c r="I202" i="15" s="1"/>
  <c r="C169" i="12" s="1"/>
  <c r="G212" i="15"/>
  <c r="I212" i="15" s="1"/>
  <c r="C168" i="12" s="1"/>
  <c r="G136" i="15"/>
  <c r="I136" i="15" s="1"/>
  <c r="C167" i="12" s="1"/>
  <c r="G153" i="15"/>
  <c r="I153" i="15" s="1"/>
  <c r="C166" i="12" s="1"/>
  <c r="G89" i="15"/>
  <c r="I89" i="15" s="1"/>
  <c r="C164" i="12" s="1"/>
  <c r="G43" i="15"/>
  <c r="I43" i="15" s="1"/>
  <c r="C163" i="12" s="1"/>
  <c r="G32" i="15"/>
  <c r="I32" i="15" s="1"/>
  <c r="C162" i="12" s="1"/>
  <c r="G217" i="15"/>
  <c r="G11" i="15"/>
  <c r="I11" i="15" s="1"/>
  <c r="C160" i="12" s="1"/>
  <c r="G249" i="15"/>
  <c r="G133" i="15"/>
  <c r="I133" i="15" s="1"/>
  <c r="C159" i="12" s="1"/>
  <c r="G49" i="15"/>
  <c r="I49" i="15" s="1"/>
  <c r="C158" i="12" s="1"/>
  <c r="G12" i="15"/>
  <c r="I12" i="15" s="1"/>
  <c r="C157" i="12" s="1"/>
  <c r="G48" i="15"/>
  <c r="I48" i="15" s="1"/>
  <c r="C156" i="12" s="1"/>
  <c r="G39" i="15"/>
  <c r="I39" i="15" s="1"/>
  <c r="C155" i="12" s="1"/>
  <c r="G216" i="15"/>
  <c r="G142" i="15"/>
  <c r="I142" i="15" s="1"/>
  <c r="C153" i="12" s="1"/>
  <c r="G184" i="15"/>
  <c r="I184" i="15" s="1"/>
  <c r="C152" i="12" s="1"/>
  <c r="G248" i="15"/>
  <c r="G149" i="15"/>
  <c r="I149" i="15" s="1"/>
  <c r="C151" i="12" s="1"/>
  <c r="G155" i="15"/>
  <c r="I155" i="15" s="1"/>
  <c r="C150" i="12" s="1"/>
  <c r="G31" i="15"/>
  <c r="I31" i="15" s="1"/>
  <c r="C149" i="12" s="1"/>
  <c r="G190" i="15"/>
  <c r="I190" i="15" s="1"/>
  <c r="C148" i="12" s="1"/>
  <c r="G247" i="15"/>
  <c r="G207" i="15"/>
  <c r="I207" i="15" s="1"/>
  <c r="C147" i="12" s="1"/>
  <c r="G81" i="15"/>
  <c r="I81" i="15" s="1"/>
  <c r="C146" i="12" s="1"/>
  <c r="G246" i="15"/>
  <c r="G110" i="15"/>
  <c r="I110" i="15" s="1"/>
  <c r="C145" i="12" s="1"/>
  <c r="G46" i="15"/>
  <c r="I46" i="15" s="1"/>
  <c r="C144" i="12" s="1"/>
  <c r="G185" i="15"/>
  <c r="I185" i="15" s="1"/>
  <c r="C143" i="12" s="1"/>
  <c r="G34" i="15"/>
  <c r="I34" i="15" s="1"/>
  <c r="C141" i="12" s="1"/>
  <c r="G96" i="15"/>
  <c r="G109" i="15"/>
  <c r="I109" i="15" s="1"/>
  <c r="C139" i="12" s="1"/>
  <c r="G245" i="15"/>
  <c r="G28" i="15"/>
  <c r="I28" i="15" s="1"/>
  <c r="C135" i="12" s="1"/>
  <c r="G244" i="15"/>
  <c r="G243" i="15"/>
  <c r="G137" i="15"/>
  <c r="I137" i="15" s="1"/>
  <c r="C134" i="12" s="1"/>
  <c r="G198" i="15"/>
  <c r="G242" i="15"/>
  <c r="G241" i="15"/>
  <c r="G240" i="15"/>
  <c r="G66" i="15"/>
  <c r="I66" i="15" s="1"/>
  <c r="C132" i="12" s="1"/>
  <c r="G20" i="15"/>
  <c r="I20" i="15" s="1"/>
  <c r="C131" i="12" s="1"/>
  <c r="G52" i="15"/>
  <c r="G112" i="15"/>
  <c r="I112" i="15" s="1"/>
  <c r="C129" i="12" s="1"/>
  <c r="G128" i="15"/>
  <c r="I128" i="15" s="1"/>
  <c r="C128" i="12" s="1"/>
  <c r="G239" i="15"/>
  <c r="G120" i="15"/>
  <c r="I120" i="15" s="1"/>
  <c r="C127" i="12" s="1"/>
  <c r="G106" i="15"/>
  <c r="I106" i="15" s="1"/>
  <c r="C126" i="12" s="1"/>
  <c r="G70" i="15"/>
  <c r="I70" i="15" s="1"/>
  <c r="C125" i="12" s="1"/>
  <c r="G209" i="15"/>
  <c r="I209" i="15" s="1"/>
  <c r="C124" i="12" s="1"/>
  <c r="G130" i="15"/>
  <c r="I130" i="15" s="1"/>
  <c r="C123" i="12" s="1"/>
  <c r="G135" i="15"/>
  <c r="I135" i="15" s="1"/>
  <c r="C122" i="12" s="1"/>
  <c r="G14" i="15"/>
  <c r="I14" i="15" s="1"/>
  <c r="C121" i="12" s="1"/>
  <c r="G134" i="15"/>
  <c r="I134" i="15" s="1"/>
  <c r="C120" i="12" s="1"/>
  <c r="G105" i="15"/>
  <c r="I105" i="15" s="1"/>
  <c r="C119" i="12" s="1"/>
  <c r="G117" i="15"/>
  <c r="I117" i="15" s="1"/>
  <c r="C118" i="12" s="1"/>
  <c r="G74" i="15"/>
  <c r="I74" i="15" s="1"/>
  <c r="C117" i="12" s="1"/>
  <c r="G169" i="15"/>
  <c r="I169" i="15" s="1"/>
  <c r="C116" i="12" s="1"/>
  <c r="G104" i="15"/>
  <c r="I104" i="15" s="1"/>
  <c r="C115" i="12" s="1"/>
  <c r="G156" i="15"/>
  <c r="I156" i="15" s="1"/>
  <c r="C114" i="12" s="1"/>
  <c r="G140" i="15"/>
  <c r="I140" i="15" s="1"/>
  <c r="C113" i="12" s="1"/>
  <c r="G145" i="15"/>
  <c r="I145" i="15" s="1"/>
  <c r="C112" i="12" s="1"/>
  <c r="G238" i="15"/>
  <c r="G144" i="15"/>
  <c r="I144" i="15" s="1"/>
  <c r="C110" i="12" s="1"/>
  <c r="G197" i="15"/>
  <c r="G237" i="15"/>
  <c r="G139" i="15"/>
  <c r="I139" i="15" s="1"/>
  <c r="C108" i="12" s="1"/>
  <c r="G236" i="15"/>
  <c r="G235" i="15"/>
  <c r="G234" i="15"/>
  <c r="G233" i="15"/>
  <c r="G181" i="15"/>
  <c r="I181" i="15" s="1"/>
  <c r="C107" i="12" s="1"/>
  <c r="G87" i="15"/>
  <c r="I87" i="15" s="1"/>
  <c r="C106" i="12" s="1"/>
  <c r="G179" i="15"/>
  <c r="I179" i="15" s="1"/>
  <c r="C105" i="12" s="1"/>
  <c r="G232" i="15"/>
  <c r="G79" i="15"/>
  <c r="I79" i="15" s="1"/>
  <c r="C104" i="12" s="1"/>
  <c r="G107" i="15"/>
  <c r="I107" i="15" s="1"/>
  <c r="C103" i="12" s="1"/>
  <c r="G231" i="15"/>
  <c r="G73" i="15"/>
  <c r="I73" i="15" s="1"/>
  <c r="C102" i="12" s="1"/>
  <c r="G215" i="15"/>
  <c r="G76" i="15"/>
  <c r="I76" i="15" s="1"/>
  <c r="C100" i="12" s="1"/>
  <c r="G95" i="15"/>
  <c r="G64" i="15"/>
  <c r="I64" i="15" s="1"/>
  <c r="C98" i="12" s="1"/>
  <c r="G22" i="15"/>
  <c r="I22" i="15" s="1"/>
  <c r="C96" i="12" s="1"/>
  <c r="G17" i="15"/>
  <c r="I17" i="15" s="1"/>
  <c r="C95" i="12" s="1"/>
  <c r="G47" i="15"/>
  <c r="I47" i="15" s="1"/>
  <c r="C94" i="12" s="1"/>
  <c r="G29" i="15"/>
  <c r="I29" i="15" s="1"/>
  <c r="C93" i="12" s="1"/>
  <c r="G196" i="15"/>
  <c r="G37" i="15"/>
  <c r="I37" i="15" s="1"/>
  <c r="C91" i="12" s="1"/>
  <c r="G123" i="15"/>
  <c r="I123" i="15" s="1"/>
  <c r="C90" i="12" s="1"/>
  <c r="G165" i="15"/>
  <c r="I165" i="15" s="1"/>
  <c r="C89" i="12" s="1"/>
  <c r="G21" i="15"/>
  <c r="I21" i="15" s="1"/>
  <c r="C88" i="12" s="1"/>
  <c r="G208" i="15"/>
  <c r="I208" i="15" s="1"/>
  <c r="C87" i="12" s="1"/>
  <c r="G195" i="15"/>
  <c r="G213" i="15"/>
  <c r="I213" i="15" s="1"/>
  <c r="C84" i="12" s="1"/>
  <c r="G230" i="15"/>
  <c r="G229" i="15"/>
  <c r="G25" i="15"/>
  <c r="I25" i="15" s="1"/>
  <c r="C82" i="12" s="1"/>
  <c r="G171" i="15"/>
  <c r="I171" i="15" s="1"/>
  <c r="C80" i="12" s="1"/>
  <c r="G54" i="15"/>
  <c r="G228" i="15"/>
  <c r="G51" i="15"/>
  <c r="I51" i="15" s="1"/>
  <c r="C78" i="12" s="1"/>
  <c r="G77" i="15"/>
  <c r="I77" i="15" s="1"/>
  <c r="C77" i="12" s="1"/>
  <c r="G227" i="15"/>
  <c r="G226" i="15"/>
  <c r="G225" i="15"/>
  <c r="G224" i="15"/>
  <c r="G223" i="15"/>
  <c r="G50" i="15"/>
  <c r="I50" i="15" s="1"/>
  <c r="C76" i="12" s="1"/>
  <c r="G85" i="15"/>
  <c r="I85" i="15" s="1"/>
  <c r="C75" i="12" s="1"/>
  <c r="G158" i="15"/>
  <c r="I158" i="15" s="1"/>
  <c r="C74" i="12" s="1"/>
  <c r="G62" i="15"/>
  <c r="I62" i="15" s="1"/>
  <c r="C73" i="12" s="1"/>
  <c r="G53" i="15"/>
  <c r="G177" i="15"/>
  <c r="I177" i="15" s="1"/>
  <c r="C70" i="12" s="1"/>
  <c r="G94" i="15"/>
  <c r="G93" i="15"/>
  <c r="G92" i="15"/>
  <c r="G222" i="15"/>
  <c r="G63" i="15"/>
  <c r="I63" i="15" s="1"/>
  <c r="C65" i="12" s="1"/>
  <c r="G13" i="15"/>
  <c r="I13" i="15" s="1"/>
  <c r="C64" i="12" s="1"/>
  <c r="G10" i="15"/>
  <c r="I10" i="15" s="1"/>
  <c r="C63" i="12" s="1"/>
  <c r="G86" i="15"/>
  <c r="I86" i="15" s="1"/>
  <c r="C62" i="12" s="1"/>
  <c r="G44" i="15"/>
  <c r="I44" i="15" s="1"/>
  <c r="C61" i="12" s="1"/>
  <c r="G9" i="15"/>
  <c r="I9" i="15" s="1"/>
  <c r="C60" i="12" s="1"/>
  <c r="G24" i="15"/>
  <c r="I24" i="15" s="1"/>
  <c r="C59" i="12" s="1"/>
  <c r="G19" i="15"/>
  <c r="I19" i="15" s="1"/>
  <c r="C58" i="12" s="1"/>
  <c r="G114" i="15"/>
  <c r="I114" i="15" s="1"/>
  <c r="C57" i="12" s="1"/>
  <c r="G67" i="15"/>
  <c r="I67" i="15" s="1"/>
  <c r="C56" i="12" s="1"/>
  <c r="G221" i="15"/>
  <c r="G157" i="15"/>
  <c r="I157" i="15" s="1"/>
  <c r="C55" i="12" s="1"/>
  <c r="G220" i="15"/>
  <c r="G59" i="15"/>
  <c r="I59" i="15" s="1"/>
  <c r="C54" i="12" s="1"/>
  <c r="G7" i="15"/>
  <c r="I7" i="15" s="1"/>
  <c r="C53" i="12" s="1"/>
  <c r="G16" i="15"/>
  <c r="I16" i="15" s="1"/>
  <c r="C52" i="12" s="1"/>
  <c r="G132" i="15"/>
  <c r="I132" i="15" s="1"/>
  <c r="C51" i="12" s="1"/>
  <c r="G127" i="15"/>
  <c r="I127" i="15" s="1"/>
  <c r="C50" i="12" s="1"/>
  <c r="G60" i="15"/>
  <c r="I60" i="15" s="1"/>
  <c r="C49" i="12" s="1"/>
  <c r="G69" i="15"/>
  <c r="I69" i="15" s="1"/>
  <c r="C48" i="12" s="1"/>
  <c r="G83" i="15"/>
  <c r="I83" i="15" s="1"/>
  <c r="C47" i="12" s="1"/>
  <c r="G91" i="15"/>
  <c r="G75" i="15"/>
  <c r="I75" i="15" s="1"/>
  <c r="C45" i="12" s="1"/>
  <c r="G193" i="15"/>
  <c r="I193" i="15" s="1"/>
  <c r="C44" i="12" s="1"/>
  <c r="G186" i="15"/>
  <c r="I186" i="15" s="1"/>
  <c r="C43" i="12" s="1"/>
  <c r="G57" i="15"/>
  <c r="I57" i="15" s="1"/>
  <c r="C42" i="12" s="1"/>
  <c r="G115" i="15"/>
  <c r="I115" i="15" s="1"/>
  <c r="C41" i="12" s="1"/>
  <c r="G187" i="15"/>
  <c r="I187" i="15" s="1"/>
  <c r="C40" i="12" s="1"/>
  <c r="G121" i="15"/>
  <c r="I121" i="15" s="1"/>
  <c r="C39" i="12" s="1"/>
  <c r="G36" i="15"/>
  <c r="I36" i="15" s="1"/>
  <c r="C38" i="12" s="1"/>
  <c r="G35" i="15"/>
  <c r="I35" i="15" s="1"/>
  <c r="C37" i="12" s="1"/>
  <c r="G18" i="15"/>
  <c r="I18" i="15" s="1"/>
  <c r="C35" i="12" s="1"/>
  <c r="G147" i="15"/>
  <c r="I147" i="15" s="1"/>
  <c r="C34" i="12" s="1"/>
  <c r="G201" i="15"/>
  <c r="I201" i="15" s="1"/>
  <c r="C32" i="12" s="1"/>
  <c r="G68" i="15"/>
  <c r="I68" i="15" s="1"/>
  <c r="C31" i="12" s="1"/>
  <c r="G214" i="15"/>
  <c r="G118" i="15"/>
  <c r="I118" i="15" s="1"/>
  <c r="C29" i="12" s="1"/>
  <c r="G65" i="15"/>
  <c r="I65" i="15" s="1"/>
  <c r="C28" i="12" s="1"/>
  <c r="G113" i="15"/>
  <c r="I113" i="15" s="1"/>
  <c r="C27" i="12" s="1"/>
  <c r="G219" i="15"/>
  <c r="G189" i="15"/>
  <c r="I189" i="15" s="1"/>
  <c r="C25" i="12" s="1"/>
  <c r="G5" i="15"/>
  <c r="G141" i="15"/>
  <c r="I141" i="15" s="1"/>
  <c r="C23" i="12" s="1"/>
  <c r="G90" i="15"/>
  <c r="E172" i="15"/>
  <c r="G172" i="15" s="1"/>
  <c r="I172" i="15" s="1"/>
  <c r="C202" i="12" s="1"/>
  <c r="E178" i="15"/>
  <c r="G178" i="15" s="1"/>
  <c r="I178" i="15" s="1"/>
  <c r="C201" i="12" s="1"/>
  <c r="E184" i="15"/>
  <c r="E170" i="15"/>
  <c r="G170" i="15" s="1"/>
  <c r="I170" i="15" s="1"/>
  <c r="C195" i="12" s="1"/>
  <c r="E174" i="15"/>
  <c r="G174" i="15" s="1"/>
  <c r="I174" i="15" s="1"/>
  <c r="C180" i="12" s="1"/>
  <c r="E163" i="15"/>
  <c r="G163" i="15" s="1"/>
  <c r="I163" i="15" s="1"/>
  <c r="C165" i="12" s="1"/>
  <c r="E199" i="15"/>
  <c r="G199" i="15" s="1"/>
  <c r="E180" i="15"/>
  <c r="G180" i="15" s="1"/>
  <c r="I180" i="15" s="1"/>
  <c r="C136" i="12" s="1"/>
  <c r="E176" i="15"/>
  <c r="G176" i="15" s="1"/>
  <c r="I176" i="15" s="1"/>
  <c r="C138" i="12" s="1"/>
  <c r="E161" i="15"/>
  <c r="G161" i="15" s="1"/>
  <c r="I161" i="15" s="1"/>
  <c r="C137" i="12" s="1"/>
  <c r="E169" i="15"/>
  <c r="E164" i="15"/>
  <c r="G164" i="15" s="1"/>
  <c r="I164" i="15" s="1"/>
  <c r="C111" i="12" s="1"/>
  <c r="E173" i="15"/>
  <c r="G173" i="15" s="1"/>
  <c r="I173" i="15" s="1"/>
  <c r="C97" i="12" s="1"/>
  <c r="E167" i="15"/>
  <c r="G167" i="15" s="1"/>
  <c r="I167" i="15" s="1"/>
  <c r="C85" i="12" s="1"/>
  <c r="E160" i="15"/>
  <c r="G160" i="15" s="1"/>
  <c r="I160" i="15" s="1"/>
  <c r="C83" i="12" s="1"/>
  <c r="E175" i="15"/>
  <c r="G175" i="15" s="1"/>
  <c r="I175" i="15" s="1"/>
  <c r="C81" i="12" s="1"/>
  <c r="E171" i="15"/>
  <c r="E168" i="15"/>
  <c r="G168" i="15" s="1"/>
  <c r="I168" i="15" s="1"/>
  <c r="C71" i="12" s="1"/>
  <c r="E108" i="15"/>
  <c r="G108" i="15" s="1"/>
  <c r="I108" i="15" s="1"/>
  <c r="C69" i="12" s="1"/>
  <c r="E194" i="15"/>
  <c r="G194" i="15" s="1"/>
  <c r="E162" i="15"/>
  <c r="G162" i="15" s="1"/>
  <c r="I162" i="15" s="1"/>
  <c r="C36" i="12" s="1"/>
  <c r="E166" i="15"/>
  <c r="G166" i="15" s="1"/>
  <c r="I166" i="15" s="1"/>
  <c r="C33" i="12" s="1"/>
  <c r="M561" i="13"/>
  <c r="M560" i="13"/>
  <c r="K560" i="13"/>
  <c r="J560" i="13"/>
  <c r="M559" i="13"/>
  <c r="K559" i="13"/>
  <c r="J559" i="13"/>
  <c r="M558" i="13"/>
  <c r="K558" i="13"/>
  <c r="J558" i="13"/>
  <c r="M557" i="13"/>
  <c r="K557" i="13"/>
  <c r="J557" i="13"/>
  <c r="M556" i="13"/>
  <c r="K556" i="13"/>
  <c r="J556" i="13"/>
  <c r="M555" i="13"/>
  <c r="K555" i="13"/>
  <c r="J555" i="13"/>
  <c r="M554" i="13"/>
  <c r="K554" i="13"/>
  <c r="J554" i="13"/>
  <c r="M553" i="13"/>
  <c r="K553" i="13"/>
  <c r="J553" i="13"/>
  <c r="M552" i="13"/>
  <c r="K552" i="13"/>
  <c r="J552" i="13"/>
  <c r="M551" i="13"/>
  <c r="K551" i="13"/>
  <c r="J551" i="13"/>
  <c r="M550" i="13"/>
  <c r="K550" i="13"/>
  <c r="J550" i="13"/>
  <c r="M549" i="13"/>
  <c r="K549" i="13"/>
  <c r="J549" i="13"/>
  <c r="M548" i="13"/>
  <c r="K548" i="13"/>
  <c r="J548" i="13"/>
  <c r="M547" i="13"/>
  <c r="K547" i="13"/>
  <c r="J547" i="13"/>
  <c r="M546" i="13"/>
  <c r="K546" i="13"/>
  <c r="J546" i="13"/>
  <c r="M545" i="13"/>
  <c r="K545" i="13"/>
  <c r="J545" i="13"/>
  <c r="M544" i="13"/>
  <c r="K544" i="13"/>
  <c r="J544" i="13"/>
  <c r="M543" i="13"/>
  <c r="K543" i="13"/>
  <c r="J543" i="13"/>
  <c r="M542" i="13"/>
  <c r="K542" i="13"/>
  <c r="J542" i="13"/>
  <c r="M541" i="13"/>
  <c r="K541" i="13"/>
  <c r="J541" i="13"/>
  <c r="M540" i="13"/>
  <c r="K540" i="13"/>
  <c r="J540" i="13"/>
  <c r="M539" i="13"/>
  <c r="K539" i="13"/>
  <c r="J539" i="13"/>
  <c r="M538" i="13"/>
  <c r="K538" i="13"/>
  <c r="J538" i="13"/>
  <c r="M537" i="13"/>
  <c r="K537" i="13"/>
  <c r="J537" i="13"/>
  <c r="M536" i="13"/>
  <c r="K536" i="13"/>
  <c r="J536" i="13"/>
  <c r="M535" i="13"/>
  <c r="K535" i="13"/>
  <c r="J535" i="13"/>
  <c r="M534" i="13"/>
  <c r="K534" i="13"/>
  <c r="J534" i="13"/>
  <c r="M533" i="13"/>
  <c r="K533" i="13"/>
  <c r="J533" i="13"/>
  <c r="M532" i="13"/>
  <c r="K532" i="13"/>
  <c r="J532" i="13"/>
  <c r="M531" i="13"/>
  <c r="K531" i="13"/>
  <c r="J531" i="13"/>
  <c r="M530" i="13"/>
  <c r="K530" i="13"/>
  <c r="J530" i="13"/>
  <c r="M529" i="13"/>
  <c r="K529" i="13"/>
  <c r="J529" i="13"/>
  <c r="M528" i="13"/>
  <c r="K528" i="13"/>
  <c r="J528" i="13"/>
  <c r="M527" i="13"/>
  <c r="K527" i="13"/>
  <c r="J527" i="13"/>
  <c r="M526" i="13"/>
  <c r="K526" i="13"/>
  <c r="J526" i="13"/>
  <c r="M525" i="13"/>
  <c r="K525" i="13"/>
  <c r="J525" i="13"/>
  <c r="M524" i="13"/>
  <c r="K524" i="13"/>
  <c r="J524" i="13"/>
  <c r="M523" i="13"/>
  <c r="K523" i="13"/>
  <c r="J523" i="13"/>
  <c r="M522" i="13"/>
  <c r="K522" i="13"/>
  <c r="J522" i="13"/>
  <c r="M521" i="13"/>
  <c r="K521" i="13"/>
  <c r="J521" i="13"/>
  <c r="M520" i="13"/>
  <c r="K520" i="13"/>
  <c r="J520" i="13"/>
  <c r="M519" i="13"/>
  <c r="K519" i="13"/>
  <c r="J519" i="13"/>
  <c r="M518" i="13"/>
  <c r="K518" i="13"/>
  <c r="J518" i="13"/>
  <c r="M517" i="13"/>
  <c r="K517" i="13"/>
  <c r="J517" i="13"/>
  <c r="M516" i="13"/>
  <c r="K516" i="13"/>
  <c r="J516" i="13"/>
  <c r="M515" i="13"/>
  <c r="K515" i="13"/>
  <c r="J515" i="13"/>
  <c r="M514" i="13"/>
  <c r="K514" i="13"/>
  <c r="J514" i="13"/>
  <c r="M513" i="13"/>
  <c r="K513" i="13"/>
  <c r="J513" i="13"/>
  <c r="M512" i="13"/>
  <c r="K512" i="13"/>
  <c r="J512" i="13"/>
  <c r="M511" i="13"/>
  <c r="K511" i="13"/>
  <c r="J511" i="13"/>
  <c r="M510" i="13"/>
  <c r="K510" i="13"/>
  <c r="J510" i="13"/>
  <c r="M509" i="13"/>
  <c r="K509" i="13"/>
  <c r="J509" i="13"/>
  <c r="M508" i="13"/>
  <c r="K508" i="13"/>
  <c r="J508" i="13"/>
  <c r="M507" i="13"/>
  <c r="K507" i="13"/>
  <c r="J507" i="13"/>
  <c r="M506" i="13"/>
  <c r="K506" i="13"/>
  <c r="J506" i="13"/>
  <c r="M505" i="13"/>
  <c r="K505" i="13"/>
  <c r="J505" i="13"/>
  <c r="M504" i="13"/>
  <c r="K504" i="13"/>
  <c r="J504" i="13"/>
  <c r="M503" i="13"/>
  <c r="K503" i="13"/>
  <c r="J503" i="13"/>
  <c r="M502" i="13"/>
  <c r="K502" i="13"/>
  <c r="J502" i="13"/>
  <c r="M501" i="13"/>
  <c r="K501" i="13"/>
  <c r="J501" i="13"/>
  <c r="M500" i="13"/>
  <c r="K500" i="13"/>
  <c r="J500" i="13"/>
  <c r="M499" i="13"/>
  <c r="K499" i="13"/>
  <c r="J499" i="13"/>
  <c r="M498" i="13"/>
  <c r="K498" i="13"/>
  <c r="J498" i="13"/>
  <c r="M497" i="13"/>
  <c r="K497" i="13"/>
  <c r="J497" i="13"/>
  <c r="M496" i="13"/>
  <c r="K496" i="13"/>
  <c r="J496" i="13"/>
  <c r="M495" i="13"/>
  <c r="K495" i="13"/>
  <c r="J495" i="13"/>
  <c r="M494" i="13"/>
  <c r="K494" i="13"/>
  <c r="J494" i="13"/>
  <c r="M493" i="13"/>
  <c r="K493" i="13"/>
  <c r="J493" i="13"/>
  <c r="M492" i="13"/>
  <c r="K492" i="13"/>
  <c r="J492" i="13"/>
  <c r="M491" i="13"/>
  <c r="K491" i="13"/>
  <c r="J491" i="13"/>
  <c r="M490" i="13"/>
  <c r="K490" i="13"/>
  <c r="J490" i="13"/>
  <c r="M489" i="13"/>
  <c r="K489" i="13"/>
  <c r="J489" i="13"/>
  <c r="M488" i="13"/>
  <c r="K488" i="13"/>
  <c r="J488" i="13"/>
  <c r="M487" i="13"/>
  <c r="K487" i="13"/>
  <c r="J487" i="13"/>
  <c r="M486" i="13"/>
  <c r="K486" i="13"/>
  <c r="J486" i="13"/>
  <c r="M485" i="13"/>
  <c r="K485" i="13"/>
  <c r="J485" i="13"/>
  <c r="M484" i="13"/>
  <c r="K484" i="13"/>
  <c r="J484" i="13"/>
  <c r="M483" i="13"/>
  <c r="K483" i="13"/>
  <c r="J483" i="13"/>
  <c r="M482" i="13"/>
  <c r="K482" i="13"/>
  <c r="J482" i="13"/>
  <c r="M481" i="13"/>
  <c r="K481" i="13"/>
  <c r="J481" i="13"/>
  <c r="M480" i="13"/>
  <c r="K480" i="13"/>
  <c r="J480" i="13"/>
  <c r="M479" i="13"/>
  <c r="K479" i="13"/>
  <c r="J479" i="13"/>
  <c r="M478" i="13"/>
  <c r="K478" i="13"/>
  <c r="J478" i="13"/>
  <c r="M477" i="13"/>
  <c r="K477" i="13"/>
  <c r="J477" i="13"/>
  <c r="M476" i="13"/>
  <c r="K476" i="13"/>
  <c r="J476" i="13"/>
  <c r="M475" i="13"/>
  <c r="K475" i="13"/>
  <c r="J475" i="13"/>
  <c r="M474" i="13"/>
  <c r="K474" i="13"/>
  <c r="J474" i="13"/>
  <c r="M473" i="13"/>
  <c r="K473" i="13"/>
  <c r="J473" i="13"/>
  <c r="M472" i="13"/>
  <c r="K472" i="13"/>
  <c r="J472" i="13"/>
  <c r="M471" i="13"/>
  <c r="K471" i="13"/>
  <c r="J471" i="13"/>
  <c r="M470" i="13"/>
  <c r="K470" i="13"/>
  <c r="J470" i="13"/>
  <c r="M469" i="13"/>
  <c r="K469" i="13"/>
  <c r="J469" i="13"/>
  <c r="M468" i="13"/>
  <c r="K468" i="13"/>
  <c r="J468" i="13"/>
  <c r="M467" i="13"/>
  <c r="K467" i="13"/>
  <c r="J467" i="13"/>
  <c r="M466" i="13"/>
  <c r="K466" i="13"/>
  <c r="J466" i="13"/>
  <c r="M465" i="13"/>
  <c r="K465" i="13"/>
  <c r="J465" i="13"/>
  <c r="M464" i="13"/>
  <c r="K464" i="13"/>
  <c r="J464" i="13"/>
  <c r="M463" i="13"/>
  <c r="K463" i="13"/>
  <c r="J463" i="13"/>
  <c r="M462" i="13"/>
  <c r="K462" i="13"/>
  <c r="J462" i="13"/>
  <c r="M461" i="13"/>
  <c r="K461" i="13"/>
  <c r="J461" i="13"/>
  <c r="M460" i="13"/>
  <c r="K460" i="13"/>
  <c r="J460" i="13"/>
  <c r="M459" i="13"/>
  <c r="K459" i="13"/>
  <c r="J459" i="13"/>
  <c r="M458" i="13"/>
  <c r="K458" i="13"/>
  <c r="J458" i="13"/>
  <c r="M457" i="13"/>
  <c r="K457" i="13"/>
  <c r="J457" i="13"/>
  <c r="M456" i="13"/>
  <c r="K456" i="13"/>
  <c r="J456" i="13"/>
  <c r="M455" i="13"/>
  <c r="K455" i="13"/>
  <c r="J455" i="13"/>
  <c r="M454" i="13"/>
  <c r="K454" i="13"/>
  <c r="J454" i="13"/>
  <c r="M453" i="13"/>
  <c r="K453" i="13"/>
  <c r="J453" i="13"/>
  <c r="M452" i="13"/>
  <c r="K452" i="13"/>
  <c r="J452" i="13"/>
  <c r="M451" i="13"/>
  <c r="K451" i="13"/>
  <c r="J451" i="13"/>
  <c r="M450" i="13"/>
  <c r="K450" i="13"/>
  <c r="J450" i="13"/>
  <c r="M449" i="13"/>
  <c r="K449" i="13"/>
  <c r="J449" i="13"/>
  <c r="M448" i="13"/>
  <c r="K448" i="13"/>
  <c r="J448" i="13"/>
  <c r="M447" i="13"/>
  <c r="K447" i="13"/>
  <c r="J447" i="13"/>
  <c r="M446" i="13"/>
  <c r="K446" i="13"/>
  <c r="J446" i="13"/>
  <c r="M445" i="13"/>
  <c r="K445" i="13"/>
  <c r="J445" i="13"/>
  <c r="M444" i="13"/>
  <c r="K444" i="13"/>
  <c r="J444" i="13"/>
  <c r="M443" i="13"/>
  <c r="K443" i="13"/>
  <c r="J443" i="13"/>
  <c r="M442" i="13"/>
  <c r="K442" i="13"/>
  <c r="J442" i="13"/>
  <c r="M441" i="13"/>
  <c r="K441" i="13"/>
  <c r="J441" i="13"/>
  <c r="M440" i="13"/>
  <c r="K440" i="13"/>
  <c r="J440" i="13"/>
  <c r="M439" i="13"/>
  <c r="K439" i="13"/>
  <c r="J439" i="13"/>
  <c r="M438" i="13"/>
  <c r="K438" i="13"/>
  <c r="J438" i="13"/>
  <c r="M437" i="13"/>
  <c r="K437" i="13"/>
  <c r="J437" i="13"/>
  <c r="M436" i="13"/>
  <c r="K436" i="13"/>
  <c r="J436" i="13"/>
  <c r="M435" i="13"/>
  <c r="K435" i="13"/>
  <c r="J435" i="13"/>
  <c r="M434" i="13"/>
  <c r="K434" i="13"/>
  <c r="J434" i="13"/>
  <c r="M433" i="13"/>
  <c r="K433" i="13"/>
  <c r="J433" i="13"/>
  <c r="M432" i="13"/>
  <c r="K432" i="13"/>
  <c r="J432" i="13"/>
  <c r="M431" i="13"/>
  <c r="K431" i="13"/>
  <c r="J431" i="13"/>
  <c r="M430" i="13"/>
  <c r="K430" i="13"/>
  <c r="J430" i="13"/>
  <c r="M429" i="13"/>
  <c r="K429" i="13"/>
  <c r="J429" i="13"/>
  <c r="M428" i="13"/>
  <c r="K428" i="13"/>
  <c r="J428" i="13"/>
  <c r="M427" i="13"/>
  <c r="K427" i="13"/>
  <c r="J427" i="13"/>
  <c r="M426" i="13"/>
  <c r="K426" i="13"/>
  <c r="J426" i="13"/>
  <c r="M425" i="13"/>
  <c r="K425" i="13"/>
  <c r="J425" i="13"/>
  <c r="M424" i="13"/>
  <c r="K424" i="13"/>
  <c r="J424" i="13"/>
  <c r="M423" i="13"/>
  <c r="K423" i="13"/>
  <c r="J423" i="13"/>
  <c r="M422" i="13"/>
  <c r="K422" i="13"/>
  <c r="J422" i="13"/>
  <c r="M421" i="13"/>
  <c r="K421" i="13"/>
  <c r="J421" i="13"/>
  <c r="M420" i="13"/>
  <c r="K420" i="13"/>
  <c r="J420" i="13"/>
  <c r="M419" i="13"/>
  <c r="K419" i="13"/>
  <c r="J419" i="13"/>
  <c r="M418" i="13"/>
  <c r="K418" i="13"/>
  <c r="J418" i="13"/>
  <c r="M417" i="13"/>
  <c r="K417" i="13"/>
  <c r="J417" i="13"/>
  <c r="M416" i="13"/>
  <c r="K416" i="13"/>
  <c r="J416" i="13"/>
  <c r="M415" i="13"/>
  <c r="K415" i="13"/>
  <c r="J415" i="13"/>
  <c r="M414" i="13"/>
  <c r="K414" i="13"/>
  <c r="J414" i="13"/>
  <c r="M413" i="13"/>
  <c r="K413" i="13"/>
  <c r="J413" i="13"/>
  <c r="M412" i="13"/>
  <c r="K412" i="13"/>
  <c r="J412" i="13"/>
  <c r="M411" i="13"/>
  <c r="K411" i="13"/>
  <c r="J411" i="13"/>
  <c r="M410" i="13"/>
  <c r="K410" i="13"/>
  <c r="J410" i="13"/>
  <c r="M409" i="13"/>
  <c r="K409" i="13"/>
  <c r="J409" i="13"/>
  <c r="M408" i="13"/>
  <c r="K408" i="13"/>
  <c r="J408" i="13"/>
  <c r="M407" i="13"/>
  <c r="K407" i="13"/>
  <c r="J407" i="13"/>
  <c r="M406" i="13"/>
  <c r="K406" i="13"/>
  <c r="J406" i="13"/>
  <c r="M405" i="13"/>
  <c r="K405" i="13"/>
  <c r="J405" i="13"/>
  <c r="M404" i="13"/>
  <c r="K404" i="13"/>
  <c r="J404" i="13"/>
  <c r="M403" i="13"/>
  <c r="K403" i="13"/>
  <c r="J403" i="13"/>
  <c r="M402" i="13"/>
  <c r="K402" i="13"/>
  <c r="J402" i="13"/>
  <c r="M401" i="13"/>
  <c r="K401" i="13"/>
  <c r="J401" i="13"/>
  <c r="M400" i="13"/>
  <c r="K400" i="13"/>
  <c r="J400" i="13"/>
  <c r="M399" i="13"/>
  <c r="K399" i="13"/>
  <c r="J399" i="13"/>
  <c r="M398" i="13"/>
  <c r="K398" i="13"/>
  <c r="J398" i="13"/>
  <c r="M397" i="13"/>
  <c r="K397" i="13"/>
  <c r="J397" i="13"/>
  <c r="M396" i="13"/>
  <c r="K396" i="13"/>
  <c r="J396" i="13"/>
  <c r="M395" i="13"/>
  <c r="K395" i="13"/>
  <c r="J395" i="13"/>
  <c r="M394" i="13"/>
  <c r="K394" i="13"/>
  <c r="J394" i="13"/>
  <c r="M393" i="13"/>
  <c r="K393" i="13"/>
  <c r="J393" i="13"/>
  <c r="M392" i="13"/>
  <c r="K392" i="13"/>
  <c r="J392" i="13"/>
  <c r="M391" i="13"/>
  <c r="K391" i="13"/>
  <c r="J391" i="13"/>
  <c r="M390" i="13"/>
  <c r="K390" i="13"/>
  <c r="J390" i="13"/>
  <c r="M389" i="13"/>
  <c r="K389" i="13"/>
  <c r="J389" i="13"/>
  <c r="M388" i="13"/>
  <c r="K388" i="13"/>
  <c r="J388" i="13"/>
  <c r="M387" i="13"/>
  <c r="K387" i="13"/>
  <c r="J387" i="13"/>
  <c r="M386" i="13"/>
  <c r="K386" i="13"/>
  <c r="J386" i="13"/>
  <c r="M385" i="13"/>
  <c r="K385" i="13"/>
  <c r="J385" i="13"/>
  <c r="M384" i="13"/>
  <c r="K384" i="13"/>
  <c r="J384" i="13"/>
  <c r="M383" i="13"/>
  <c r="K383" i="13"/>
  <c r="J383" i="13"/>
  <c r="M382" i="13"/>
  <c r="K382" i="13"/>
  <c r="J382" i="13"/>
  <c r="M381" i="13"/>
  <c r="K381" i="13"/>
  <c r="J381" i="13"/>
  <c r="M380" i="13"/>
  <c r="K380" i="13"/>
  <c r="J380" i="13"/>
  <c r="M379" i="13"/>
  <c r="K379" i="13"/>
  <c r="J379" i="13"/>
  <c r="M378" i="13"/>
  <c r="K378" i="13"/>
  <c r="J378" i="13"/>
  <c r="M377" i="13"/>
  <c r="K377" i="13"/>
  <c r="J377" i="13"/>
  <c r="M376" i="13"/>
  <c r="K376" i="13"/>
  <c r="J376" i="13"/>
  <c r="M375" i="13"/>
  <c r="K375" i="13"/>
  <c r="J375" i="13"/>
  <c r="M374" i="13"/>
  <c r="K374" i="13"/>
  <c r="J374" i="13"/>
  <c r="M373" i="13"/>
  <c r="K373" i="13"/>
  <c r="J373" i="13"/>
  <c r="M372" i="13"/>
  <c r="K372" i="13"/>
  <c r="J372" i="13"/>
  <c r="M371" i="13"/>
  <c r="K371" i="13"/>
  <c r="J371" i="13"/>
  <c r="M370" i="13"/>
  <c r="K370" i="13"/>
  <c r="J370" i="13"/>
  <c r="M369" i="13"/>
  <c r="K369" i="13"/>
  <c r="J369" i="13"/>
  <c r="M368" i="13"/>
  <c r="K368" i="13"/>
  <c r="J368" i="13"/>
  <c r="M367" i="13"/>
  <c r="K367" i="13"/>
  <c r="J367" i="13"/>
  <c r="M366" i="13"/>
  <c r="K366" i="13"/>
  <c r="J366" i="13"/>
  <c r="M365" i="13"/>
  <c r="K365" i="13"/>
  <c r="J365" i="13"/>
  <c r="M364" i="13"/>
  <c r="K364" i="13"/>
  <c r="J364" i="13"/>
  <c r="M363" i="13"/>
  <c r="K363" i="13"/>
  <c r="J363" i="13"/>
  <c r="M362" i="13"/>
  <c r="K362" i="13"/>
  <c r="J362" i="13"/>
  <c r="M361" i="13"/>
  <c r="K361" i="13"/>
  <c r="J361" i="13"/>
  <c r="M360" i="13"/>
  <c r="K360" i="13"/>
  <c r="J360" i="13"/>
  <c r="M359" i="13"/>
  <c r="K359" i="13"/>
  <c r="J359" i="13"/>
  <c r="M358" i="13"/>
  <c r="K358" i="13"/>
  <c r="J358" i="13"/>
  <c r="M357" i="13"/>
  <c r="K357" i="13"/>
  <c r="J357" i="13"/>
  <c r="M356" i="13"/>
  <c r="K356" i="13"/>
  <c r="J356" i="13"/>
  <c r="M355" i="13"/>
  <c r="K355" i="13"/>
  <c r="J355" i="13"/>
  <c r="M354" i="13"/>
  <c r="K354" i="13"/>
  <c r="J354" i="13"/>
  <c r="M353" i="13"/>
  <c r="K353" i="13"/>
  <c r="J353" i="13"/>
  <c r="M352" i="13"/>
  <c r="K352" i="13"/>
  <c r="J352" i="13"/>
  <c r="M351" i="13"/>
  <c r="K351" i="13"/>
  <c r="J351" i="13"/>
  <c r="M350" i="13"/>
  <c r="K350" i="13"/>
  <c r="J350" i="13"/>
  <c r="M349" i="13"/>
  <c r="K349" i="13"/>
  <c r="J349" i="13"/>
  <c r="M348" i="13"/>
  <c r="K348" i="13"/>
  <c r="J348" i="13"/>
  <c r="M347" i="13"/>
  <c r="K347" i="13"/>
  <c r="J347" i="13"/>
  <c r="M346" i="13"/>
  <c r="K346" i="13"/>
  <c r="J346" i="13"/>
  <c r="M345" i="13"/>
  <c r="K345" i="13"/>
  <c r="J345" i="13"/>
  <c r="M344" i="13"/>
  <c r="K344" i="13"/>
  <c r="J344" i="13"/>
  <c r="M343" i="13"/>
  <c r="K343" i="13"/>
  <c r="J343" i="13"/>
  <c r="M342" i="13"/>
  <c r="K342" i="13"/>
  <c r="J342" i="13"/>
  <c r="M341" i="13"/>
  <c r="K341" i="13"/>
  <c r="J341" i="13"/>
  <c r="M340" i="13"/>
  <c r="K340" i="13"/>
  <c r="J340" i="13"/>
  <c r="M339" i="13"/>
  <c r="K339" i="13"/>
  <c r="J339" i="13"/>
  <c r="K338" i="13"/>
  <c r="J338" i="13"/>
  <c r="I338" i="13"/>
  <c r="G338" i="13"/>
  <c r="K337" i="13"/>
  <c r="J337" i="13"/>
  <c r="I337" i="13"/>
  <c r="G337" i="13"/>
  <c r="K336" i="13"/>
  <c r="J336" i="13"/>
  <c r="I336" i="13"/>
  <c r="G336" i="13"/>
  <c r="K335" i="13"/>
  <c r="J335" i="13"/>
  <c r="I335" i="13"/>
  <c r="G335" i="13"/>
  <c r="K334" i="13"/>
  <c r="J334" i="13"/>
  <c r="I334" i="13"/>
  <c r="G334" i="13"/>
  <c r="K333" i="13"/>
  <c r="J333" i="13"/>
  <c r="I333" i="13"/>
  <c r="G333" i="13"/>
  <c r="K332" i="13"/>
  <c r="J332" i="13"/>
  <c r="I332" i="13"/>
  <c r="K331" i="13"/>
  <c r="J331" i="13"/>
  <c r="I331" i="13"/>
  <c r="G331" i="13"/>
  <c r="K330" i="13"/>
  <c r="J330" i="13"/>
  <c r="I330" i="13"/>
  <c r="K329" i="13"/>
  <c r="J329" i="13"/>
  <c r="I329" i="13"/>
  <c r="K328" i="13"/>
  <c r="J328" i="13"/>
  <c r="I328" i="13"/>
  <c r="G328" i="13"/>
  <c r="K327" i="13"/>
  <c r="J327" i="13"/>
  <c r="I327" i="13"/>
  <c r="K326" i="13"/>
  <c r="J326" i="13"/>
  <c r="I326" i="13"/>
  <c r="K325" i="13"/>
  <c r="J325" i="13"/>
  <c r="I325" i="13"/>
  <c r="K324" i="13"/>
  <c r="J324" i="13"/>
  <c r="I324" i="13"/>
  <c r="K323" i="13"/>
  <c r="J323" i="13"/>
  <c r="I323" i="13"/>
  <c r="K322" i="13"/>
  <c r="J322" i="13"/>
  <c r="I322" i="13"/>
  <c r="K321" i="13"/>
  <c r="J321" i="13"/>
  <c r="I321" i="13"/>
  <c r="K320" i="13"/>
  <c r="J320" i="13"/>
  <c r="I320" i="13"/>
  <c r="K319" i="13"/>
  <c r="J319" i="13"/>
  <c r="I319" i="13"/>
  <c r="K318" i="13"/>
  <c r="J318" i="13"/>
  <c r="I318" i="13"/>
  <c r="K317" i="13"/>
  <c r="J317" i="13"/>
  <c r="I317" i="13"/>
  <c r="K316" i="13"/>
  <c r="J316" i="13"/>
  <c r="I316" i="13"/>
  <c r="K315" i="13"/>
  <c r="J315" i="13"/>
  <c r="I315" i="13"/>
  <c r="K314" i="13"/>
  <c r="J314" i="13"/>
  <c r="I314" i="13"/>
  <c r="K313" i="13"/>
  <c r="J313" i="13"/>
  <c r="I313" i="13"/>
  <c r="K312" i="13"/>
  <c r="J312" i="13"/>
  <c r="I312" i="13"/>
  <c r="K311" i="13"/>
  <c r="J311" i="13"/>
  <c r="I311" i="13"/>
  <c r="K310" i="13"/>
  <c r="J310" i="13"/>
  <c r="I310" i="13"/>
  <c r="K309" i="13"/>
  <c r="J309" i="13"/>
  <c r="I309" i="13"/>
  <c r="K308" i="13"/>
  <c r="J308" i="13"/>
  <c r="I308" i="13"/>
  <c r="K307" i="13"/>
  <c r="J307" i="13"/>
  <c r="I307" i="13"/>
  <c r="K306" i="13"/>
  <c r="J306" i="13"/>
  <c r="I306" i="13"/>
  <c r="K305" i="13"/>
  <c r="J305" i="13"/>
  <c r="I305" i="13"/>
  <c r="K304" i="13"/>
  <c r="J304" i="13"/>
  <c r="I304" i="13"/>
  <c r="K303" i="13"/>
  <c r="J303" i="13"/>
  <c r="I303" i="13"/>
  <c r="K302" i="13"/>
  <c r="J302" i="13"/>
  <c r="I302" i="13"/>
  <c r="K301" i="13"/>
  <c r="J301" i="13"/>
  <c r="I301" i="13"/>
  <c r="K300" i="13"/>
  <c r="J300" i="13"/>
  <c r="I300" i="13"/>
  <c r="K299" i="13"/>
  <c r="J299" i="13"/>
  <c r="I299" i="13"/>
  <c r="K298" i="13"/>
  <c r="J298" i="13"/>
  <c r="I298" i="13"/>
  <c r="K297" i="13"/>
  <c r="J297" i="13"/>
  <c r="I297" i="13"/>
  <c r="K296" i="13"/>
  <c r="J296" i="13"/>
  <c r="I296" i="13"/>
  <c r="K295" i="13"/>
  <c r="J295" i="13"/>
  <c r="I295" i="13"/>
  <c r="K294" i="13"/>
  <c r="J294" i="13"/>
  <c r="I294" i="13"/>
  <c r="K293" i="13"/>
  <c r="J293" i="13"/>
  <c r="I293" i="13"/>
  <c r="K292" i="13"/>
  <c r="J292" i="13"/>
  <c r="I292" i="13"/>
  <c r="K291" i="13"/>
  <c r="J291" i="13"/>
  <c r="I291" i="13"/>
  <c r="K290" i="13"/>
  <c r="J290" i="13"/>
  <c r="I290" i="13"/>
  <c r="K289" i="13"/>
  <c r="J289" i="13"/>
  <c r="I289" i="13"/>
  <c r="K288" i="13"/>
  <c r="J288" i="13"/>
  <c r="I288" i="13"/>
  <c r="K287" i="13"/>
  <c r="J287" i="13"/>
  <c r="I287" i="13"/>
  <c r="K286" i="13"/>
  <c r="J286" i="13"/>
  <c r="I286" i="13"/>
  <c r="K285" i="13"/>
  <c r="J285" i="13"/>
  <c r="I285" i="13"/>
  <c r="K284" i="13"/>
  <c r="J284" i="13"/>
  <c r="I284" i="13"/>
  <c r="K283" i="13"/>
  <c r="J283" i="13"/>
  <c r="I283" i="13"/>
  <c r="K282" i="13"/>
  <c r="J282" i="13"/>
  <c r="I282" i="13"/>
  <c r="K281" i="13"/>
  <c r="J281" i="13"/>
  <c r="I281" i="13"/>
  <c r="K280" i="13"/>
  <c r="J280" i="13"/>
  <c r="I280" i="13"/>
  <c r="K279" i="13"/>
  <c r="J279" i="13"/>
  <c r="I279" i="13"/>
  <c r="K278" i="13"/>
  <c r="J278" i="13"/>
  <c r="I278" i="13"/>
  <c r="K277" i="13"/>
  <c r="J277" i="13"/>
  <c r="I277" i="13"/>
  <c r="K276" i="13"/>
  <c r="J276" i="13"/>
  <c r="I276" i="13"/>
  <c r="K275" i="13"/>
  <c r="J275" i="13"/>
  <c r="I275" i="13"/>
  <c r="K274" i="13"/>
  <c r="J274" i="13"/>
  <c r="I274" i="13"/>
  <c r="K273" i="13"/>
  <c r="J273" i="13"/>
  <c r="I273" i="13"/>
  <c r="K272" i="13"/>
  <c r="J272" i="13"/>
  <c r="I272" i="13"/>
  <c r="K271" i="13"/>
  <c r="J271" i="13"/>
  <c r="I271" i="13"/>
  <c r="K270" i="13"/>
  <c r="J270" i="13"/>
  <c r="I270" i="13"/>
  <c r="K269" i="13"/>
  <c r="J269" i="13"/>
  <c r="I269" i="13"/>
  <c r="K268" i="13"/>
  <c r="J268" i="13"/>
  <c r="I268" i="13"/>
  <c r="K267" i="13"/>
  <c r="J267" i="13"/>
  <c r="I267" i="13"/>
  <c r="K266" i="13"/>
  <c r="J266" i="13"/>
  <c r="I266" i="13"/>
  <c r="K265" i="13"/>
  <c r="J265" i="13"/>
  <c r="I265" i="13"/>
  <c r="K264" i="13"/>
  <c r="J264" i="13"/>
  <c r="I264" i="13"/>
  <c r="K263" i="13"/>
  <c r="J263" i="13"/>
  <c r="I263" i="13"/>
  <c r="K262" i="13"/>
  <c r="J262" i="13"/>
  <c r="I262" i="13"/>
  <c r="K261" i="13"/>
  <c r="J261" i="13"/>
  <c r="I261" i="13"/>
  <c r="K260" i="13"/>
  <c r="J260" i="13"/>
  <c r="I260" i="13"/>
  <c r="K259" i="13"/>
  <c r="J259" i="13"/>
  <c r="I259" i="13"/>
  <c r="K258" i="13"/>
  <c r="J258" i="13"/>
  <c r="I258" i="13"/>
  <c r="K257" i="13"/>
  <c r="J257" i="13"/>
  <c r="I257" i="13"/>
  <c r="K256" i="13"/>
  <c r="J256" i="13"/>
  <c r="I256" i="13"/>
  <c r="K255" i="13"/>
  <c r="J255" i="13"/>
  <c r="I255" i="13"/>
  <c r="K254" i="13"/>
  <c r="J254" i="13"/>
  <c r="I254" i="13"/>
  <c r="K253" i="13"/>
  <c r="J253" i="13"/>
  <c r="I253" i="13"/>
  <c r="K252" i="13"/>
  <c r="J252" i="13"/>
  <c r="I252" i="13"/>
  <c r="K251" i="13"/>
  <c r="J251" i="13"/>
  <c r="I251" i="13"/>
  <c r="K250" i="13"/>
  <c r="J250" i="13"/>
  <c r="I250" i="13"/>
  <c r="K249" i="13"/>
  <c r="J249" i="13"/>
  <c r="I249" i="13"/>
  <c r="K248" i="13"/>
  <c r="J248" i="13"/>
  <c r="I248" i="13"/>
  <c r="K247" i="13"/>
  <c r="J247" i="13"/>
  <c r="I247" i="13"/>
  <c r="K246" i="13"/>
  <c r="J246" i="13"/>
  <c r="I246" i="13"/>
  <c r="K245" i="13"/>
  <c r="J245" i="13"/>
  <c r="I245" i="13"/>
  <c r="K244" i="13"/>
  <c r="J244" i="13"/>
  <c r="I244" i="13"/>
  <c r="K243" i="13"/>
  <c r="J243" i="13"/>
  <c r="I243" i="13"/>
  <c r="K242" i="13"/>
  <c r="J242" i="13"/>
  <c r="I242" i="13"/>
  <c r="K241" i="13"/>
  <c r="J241" i="13"/>
  <c r="I241" i="13"/>
  <c r="K240" i="13"/>
  <c r="J240" i="13"/>
  <c r="I240" i="13"/>
  <c r="K239" i="13"/>
  <c r="J239" i="13"/>
  <c r="I239" i="13"/>
  <c r="K238" i="13"/>
  <c r="J238" i="13"/>
  <c r="I238" i="13"/>
  <c r="K237" i="13"/>
  <c r="J237" i="13"/>
  <c r="I237" i="13"/>
  <c r="K236" i="13"/>
  <c r="J236" i="13"/>
  <c r="I236" i="13"/>
  <c r="K235" i="13"/>
  <c r="J235" i="13"/>
  <c r="I235" i="13"/>
  <c r="K234" i="13"/>
  <c r="J234" i="13"/>
  <c r="I234" i="13"/>
  <c r="K233" i="13"/>
  <c r="J233" i="13"/>
  <c r="I233" i="13"/>
  <c r="K232" i="13"/>
  <c r="J232" i="13"/>
  <c r="I232" i="13"/>
  <c r="K231" i="13"/>
  <c r="J231" i="13"/>
  <c r="I231" i="13"/>
  <c r="K230" i="13"/>
  <c r="J230" i="13"/>
  <c r="I230" i="13"/>
  <c r="K229" i="13"/>
  <c r="J229" i="13"/>
  <c r="I229" i="13"/>
  <c r="K228" i="13"/>
  <c r="J228" i="13"/>
  <c r="I228" i="13"/>
  <c r="K227" i="13"/>
  <c r="J227" i="13"/>
  <c r="I227" i="13"/>
  <c r="K226" i="13"/>
  <c r="J226" i="13"/>
  <c r="I226" i="13"/>
  <c r="K225" i="13"/>
  <c r="J225" i="13"/>
  <c r="I225" i="13"/>
  <c r="K224" i="13"/>
  <c r="J224" i="13"/>
  <c r="I224" i="13"/>
  <c r="K223" i="13"/>
  <c r="J223" i="13"/>
  <c r="I223" i="13"/>
  <c r="K222" i="13"/>
  <c r="J222" i="13"/>
  <c r="I222" i="13"/>
  <c r="K221" i="13"/>
  <c r="J221" i="13"/>
  <c r="I221" i="13"/>
  <c r="K220" i="13"/>
  <c r="J220" i="13"/>
  <c r="I220" i="13"/>
  <c r="K219" i="13"/>
  <c r="J219" i="13"/>
  <c r="I219" i="13"/>
  <c r="K218" i="13"/>
  <c r="J218" i="13"/>
  <c r="I218" i="13"/>
  <c r="K217" i="13"/>
  <c r="J217" i="13"/>
  <c r="I217" i="13"/>
  <c r="K216" i="13"/>
  <c r="J216" i="13"/>
  <c r="I216" i="13"/>
  <c r="K215" i="13"/>
  <c r="J215" i="13"/>
  <c r="I215" i="13"/>
  <c r="K214" i="13"/>
  <c r="J214" i="13"/>
  <c r="I214" i="13"/>
  <c r="K213" i="13"/>
  <c r="J213" i="13"/>
  <c r="I213" i="13"/>
  <c r="K212" i="13"/>
  <c r="J212" i="13"/>
  <c r="I212" i="13"/>
  <c r="K211" i="13"/>
  <c r="J211" i="13"/>
  <c r="I211" i="13"/>
  <c r="K210" i="13"/>
  <c r="J210" i="13"/>
  <c r="I210" i="13"/>
  <c r="K209" i="13"/>
  <c r="J209" i="13"/>
  <c r="I209" i="13"/>
  <c r="K208" i="13"/>
  <c r="J208" i="13"/>
  <c r="I208" i="13"/>
  <c r="K207" i="13"/>
  <c r="J207" i="13"/>
  <c r="I207" i="13"/>
  <c r="K206" i="13"/>
  <c r="J206" i="13"/>
  <c r="I206" i="13"/>
  <c r="K205" i="13"/>
  <c r="J205" i="13"/>
  <c r="I205" i="13"/>
  <c r="K204" i="13"/>
  <c r="J204" i="13"/>
  <c r="I204" i="13"/>
  <c r="K203" i="13"/>
  <c r="J203" i="13"/>
  <c r="I203" i="13"/>
  <c r="K202" i="13"/>
  <c r="J202" i="13"/>
  <c r="I202" i="13"/>
  <c r="K195" i="13"/>
  <c r="J195" i="13"/>
  <c r="I195" i="13"/>
  <c r="K194" i="13"/>
  <c r="J194" i="13"/>
  <c r="I194" i="13"/>
  <c r="I192" i="13"/>
  <c r="I191" i="13"/>
  <c r="I190" i="13"/>
  <c r="I189" i="13"/>
  <c r="I188" i="13"/>
  <c r="I187" i="13"/>
  <c r="I186" i="13"/>
  <c r="I185" i="13"/>
  <c r="I184" i="13"/>
  <c r="I183" i="13"/>
  <c r="I182" i="13"/>
  <c r="I181" i="13"/>
  <c r="I180" i="13"/>
  <c r="I179" i="13"/>
  <c r="I178" i="13"/>
  <c r="I177" i="13"/>
  <c r="I176" i="13"/>
  <c r="K175" i="13"/>
  <c r="I175" i="13"/>
  <c r="I174" i="13"/>
  <c r="I173" i="13"/>
  <c r="I172" i="13"/>
  <c r="I171" i="13"/>
  <c r="I170" i="13"/>
  <c r="I169" i="13"/>
  <c r="I168" i="13"/>
  <c r="I167" i="13"/>
  <c r="I166" i="13"/>
  <c r="I165" i="13"/>
  <c r="I164" i="13"/>
  <c r="I163" i="13"/>
  <c r="I162" i="13"/>
  <c r="I161" i="13"/>
  <c r="I160" i="13"/>
  <c r="K158" i="13"/>
  <c r="I158" i="13"/>
  <c r="I157" i="13"/>
  <c r="I156" i="13"/>
  <c r="I155" i="13"/>
  <c r="I154" i="13"/>
  <c r="I153" i="13"/>
  <c r="E153" i="13"/>
  <c r="I152" i="13"/>
  <c r="I151" i="13"/>
  <c r="I150" i="13"/>
  <c r="I149" i="13"/>
  <c r="I148" i="13"/>
  <c r="I147" i="13"/>
  <c r="I146" i="13"/>
  <c r="I145" i="13"/>
  <c r="I144" i="13"/>
  <c r="I143" i="13"/>
  <c r="I142" i="13"/>
  <c r="I141" i="13"/>
  <c r="I140" i="13"/>
  <c r="I139" i="13"/>
  <c r="I138" i="13"/>
  <c r="K137" i="13"/>
  <c r="I137" i="13"/>
  <c r="I136" i="13"/>
  <c r="I135" i="13"/>
  <c r="I134" i="13"/>
  <c r="I133" i="13"/>
  <c r="I132" i="13"/>
  <c r="I131" i="13"/>
  <c r="I130" i="13"/>
  <c r="I129" i="13"/>
  <c r="I128" i="13"/>
  <c r="I127" i="13"/>
  <c r="I126" i="13"/>
  <c r="I125" i="13"/>
  <c r="I124" i="13"/>
  <c r="I123" i="13"/>
  <c r="K122" i="13"/>
  <c r="I122" i="13"/>
  <c r="K121" i="13"/>
  <c r="I121" i="13"/>
  <c r="K120" i="13"/>
  <c r="I120" i="13"/>
  <c r="K119" i="13"/>
  <c r="I119" i="13"/>
  <c r="K118" i="13"/>
  <c r="I118" i="13"/>
  <c r="K117" i="13"/>
  <c r="I117" i="13"/>
  <c r="K116" i="13"/>
  <c r="I116" i="13"/>
  <c r="K115" i="13"/>
  <c r="I115" i="13"/>
  <c r="K114" i="13"/>
  <c r="I114" i="13"/>
  <c r="K113" i="13"/>
  <c r="I113" i="13"/>
  <c r="K112" i="13"/>
  <c r="I112" i="13"/>
  <c r="K111" i="13"/>
  <c r="I111" i="13"/>
  <c r="K110" i="13"/>
  <c r="I110" i="13"/>
  <c r="K109" i="13"/>
  <c r="I109" i="13"/>
  <c r="K108" i="13"/>
  <c r="I108" i="13"/>
  <c r="K107" i="13"/>
  <c r="I107" i="13"/>
  <c r="K106" i="13"/>
  <c r="J106" i="13"/>
  <c r="I106" i="13"/>
  <c r="K105" i="13"/>
  <c r="J105" i="13"/>
  <c r="I105" i="13"/>
  <c r="K104" i="13"/>
  <c r="J104" i="13"/>
  <c r="I104" i="13"/>
  <c r="K103" i="13"/>
  <c r="I103" i="13"/>
  <c r="K102" i="13"/>
  <c r="I102" i="13"/>
  <c r="K101" i="13"/>
  <c r="J101" i="13"/>
  <c r="I101" i="13"/>
  <c r="K100" i="13"/>
  <c r="J100" i="13"/>
  <c r="I100" i="13"/>
  <c r="K99" i="13"/>
  <c r="J99" i="13"/>
  <c r="I99" i="13"/>
  <c r="K98" i="13"/>
  <c r="J98" i="13"/>
  <c r="I98" i="13"/>
  <c r="K97" i="13"/>
  <c r="J97" i="13"/>
  <c r="I97" i="13"/>
  <c r="K96" i="13"/>
  <c r="I96" i="13"/>
  <c r="K95" i="13"/>
  <c r="J95" i="13"/>
  <c r="I95" i="13"/>
  <c r="K94" i="13"/>
  <c r="J94" i="13"/>
  <c r="I94" i="13"/>
  <c r="K93" i="13"/>
  <c r="J93" i="13"/>
  <c r="I93" i="13"/>
  <c r="K92" i="13"/>
  <c r="I92" i="13"/>
  <c r="K91" i="13"/>
  <c r="I91" i="13"/>
  <c r="K90" i="13"/>
  <c r="I90" i="13"/>
  <c r="K83" i="13"/>
  <c r="I83" i="13"/>
  <c r="K82" i="13"/>
  <c r="I82" i="13"/>
  <c r="K81" i="13"/>
  <c r="J81" i="13"/>
  <c r="I81" i="13"/>
  <c r="K80" i="13"/>
  <c r="J80" i="13"/>
  <c r="I80" i="13"/>
  <c r="K79" i="13"/>
  <c r="J79" i="13"/>
  <c r="I79" i="13"/>
  <c r="K78" i="13"/>
  <c r="J78" i="13"/>
  <c r="I78" i="13"/>
  <c r="K77" i="13"/>
  <c r="J77" i="13"/>
  <c r="I77" i="13"/>
  <c r="K76" i="13"/>
  <c r="J76" i="13"/>
  <c r="I76" i="13"/>
  <c r="K75" i="13"/>
  <c r="J75" i="13"/>
  <c r="I75" i="13"/>
  <c r="K74" i="13"/>
  <c r="J74" i="13"/>
  <c r="I74" i="13"/>
  <c r="K73" i="13"/>
  <c r="J73" i="13"/>
  <c r="I73" i="13"/>
  <c r="K72" i="13"/>
  <c r="J72" i="13"/>
  <c r="I72" i="13"/>
  <c r="K71" i="13"/>
  <c r="J71" i="13"/>
  <c r="I71" i="13"/>
  <c r="K70" i="13"/>
  <c r="J70" i="13"/>
  <c r="I70" i="13"/>
  <c r="K69" i="13"/>
  <c r="J69" i="13"/>
  <c r="I69" i="13"/>
  <c r="K68" i="13"/>
  <c r="J68" i="13"/>
  <c r="I68" i="13"/>
  <c r="K67" i="13"/>
  <c r="J67" i="13"/>
  <c r="I67" i="13"/>
  <c r="K66" i="13"/>
  <c r="J66" i="13"/>
  <c r="I66" i="13"/>
  <c r="K65" i="13"/>
  <c r="J65" i="13"/>
  <c r="I65" i="13"/>
  <c r="K64" i="13"/>
  <c r="J64" i="13"/>
  <c r="I64" i="13"/>
  <c r="K63" i="13"/>
  <c r="J63" i="13"/>
  <c r="I63" i="13"/>
  <c r="K62" i="13"/>
  <c r="J62" i="13"/>
  <c r="I62" i="13"/>
  <c r="K61" i="13"/>
  <c r="J61" i="13"/>
  <c r="I61" i="13"/>
  <c r="K60" i="13"/>
  <c r="J60" i="13"/>
  <c r="I60" i="13"/>
  <c r="K59" i="13"/>
  <c r="J59" i="13"/>
  <c r="I59" i="13"/>
  <c r="F59" i="13"/>
  <c r="K58" i="13"/>
  <c r="J58" i="13"/>
  <c r="I58" i="13"/>
  <c r="K57" i="13"/>
  <c r="J57" i="13"/>
  <c r="I57" i="13"/>
  <c r="F57" i="13"/>
  <c r="K56" i="13"/>
  <c r="J56" i="13"/>
  <c r="I56" i="13"/>
  <c r="K55" i="13"/>
  <c r="J55" i="13"/>
  <c r="I55" i="13"/>
  <c r="K54" i="13"/>
  <c r="J54" i="13"/>
  <c r="I54" i="13"/>
  <c r="K53" i="13"/>
  <c r="K52" i="13"/>
  <c r="J52" i="13"/>
  <c r="I52" i="13"/>
  <c r="K43" i="13"/>
  <c r="J43" i="13"/>
  <c r="I43" i="13"/>
  <c r="K42" i="13"/>
  <c r="J42" i="13"/>
  <c r="I42" i="13"/>
  <c r="K41" i="13"/>
  <c r="J41" i="13"/>
  <c r="I41" i="13"/>
  <c r="K40" i="13"/>
  <c r="J40" i="13"/>
  <c r="I40" i="13"/>
  <c r="K37" i="13"/>
  <c r="J37" i="13"/>
  <c r="I37" i="13"/>
  <c r="K36" i="13"/>
  <c r="J36" i="13"/>
  <c r="I36" i="13"/>
  <c r="K35" i="13"/>
  <c r="J35" i="13"/>
  <c r="I35" i="13"/>
  <c r="K34" i="13"/>
  <c r="J34" i="13"/>
  <c r="I34" i="13"/>
  <c r="K33" i="13"/>
  <c r="J33" i="13"/>
  <c r="I33" i="13"/>
  <c r="K32" i="13"/>
  <c r="J32" i="13"/>
  <c r="I32" i="13"/>
  <c r="K31" i="13"/>
  <c r="J31" i="13"/>
  <c r="I31" i="13"/>
  <c r="K30" i="13"/>
  <c r="J30" i="13"/>
  <c r="I30" i="13"/>
  <c r="K29" i="13"/>
  <c r="J29" i="13"/>
  <c r="I29" i="13"/>
  <c r="K28" i="13"/>
  <c r="J28" i="13"/>
  <c r="I28" i="13"/>
  <c r="K27" i="13"/>
  <c r="J27" i="13"/>
  <c r="I27" i="13"/>
  <c r="K26" i="13"/>
  <c r="J26" i="13"/>
  <c r="I26" i="13"/>
  <c r="K25" i="13"/>
  <c r="J25" i="13"/>
  <c r="I25" i="13"/>
  <c r="K24" i="13"/>
  <c r="J24" i="13"/>
  <c r="I24" i="13"/>
  <c r="K23" i="13"/>
  <c r="J23" i="13"/>
  <c r="I23" i="13"/>
  <c r="K22" i="13"/>
  <c r="J22" i="13"/>
  <c r="I22" i="13"/>
  <c r="K21" i="13"/>
  <c r="J21" i="13"/>
  <c r="I21" i="13"/>
  <c r="K20" i="13"/>
  <c r="J20" i="13"/>
  <c r="I20" i="13"/>
  <c r="K19" i="13"/>
  <c r="J19" i="13"/>
  <c r="I19" i="13"/>
  <c r="K18" i="13"/>
  <c r="J18" i="13"/>
  <c r="I18" i="13"/>
  <c r="K17" i="13"/>
  <c r="J17" i="13"/>
  <c r="I17" i="13"/>
  <c r="K16" i="13"/>
  <c r="J16" i="13"/>
  <c r="I16" i="13"/>
  <c r="K15" i="13"/>
  <c r="J15" i="13"/>
  <c r="I15" i="13"/>
  <c r="K14" i="13"/>
  <c r="J14" i="13"/>
  <c r="I14" i="13"/>
  <c r="K13" i="13"/>
  <c r="J13" i="13"/>
  <c r="I13" i="13"/>
  <c r="K12" i="13"/>
  <c r="J12" i="13"/>
  <c r="I12" i="13"/>
  <c r="K11" i="13"/>
  <c r="J11" i="13"/>
  <c r="I11" i="13"/>
  <c r="K10" i="13"/>
  <c r="J10" i="13"/>
  <c r="I10" i="13"/>
  <c r="K9" i="13"/>
  <c r="J9" i="13"/>
  <c r="I9" i="13"/>
  <c r="K8" i="13"/>
  <c r="J8" i="13"/>
  <c r="I8" i="13"/>
  <c r="K7" i="13"/>
  <c r="J7" i="13"/>
  <c r="I7" i="13"/>
  <c r="K6" i="13"/>
  <c r="I6" i="13"/>
  <c r="K5" i="13"/>
  <c r="J5" i="13"/>
  <c r="I5" i="13"/>
  <c r="K4" i="13"/>
  <c r="J4" i="13"/>
  <c r="I4" i="13"/>
  <c r="J37" i="11"/>
  <c r="L37" i="11"/>
  <c r="C10" i="12"/>
  <c r="C13" i="12"/>
  <c r="C11" i="12"/>
  <c r="C12" i="12"/>
  <c r="D13" i="12"/>
  <c r="I13" i="12"/>
  <c r="F15" i="3"/>
  <c r="I18" i="5"/>
  <c r="C8" i="12" s="1"/>
  <c r="E30" i="3"/>
  <c r="F41" i="3"/>
  <c r="K16" i="4"/>
  <c r="I10" i="5"/>
  <c r="B3" i="12" s="1"/>
  <c r="I13" i="5"/>
  <c r="C3" i="12" s="1"/>
  <c r="I14" i="5"/>
  <c r="C4" i="12" s="1"/>
  <c r="Q14" i="5"/>
  <c r="I15" i="5"/>
  <c r="C5" i="12" s="1"/>
  <c r="I16" i="5"/>
  <c r="C6" i="12"/>
  <c r="M16" i="5"/>
  <c r="N16" i="5"/>
  <c r="I17" i="5"/>
  <c r="C7" i="12" s="1"/>
  <c r="I19" i="5"/>
  <c r="I21" i="5"/>
  <c r="I22" i="5"/>
  <c r="I23" i="5"/>
  <c r="G24" i="5"/>
  <c r="I24" i="5"/>
  <c r="I25" i="5"/>
  <c r="B10" i="12" s="1"/>
  <c r="I26" i="5"/>
  <c r="I27" i="5"/>
  <c r="I28" i="5"/>
  <c r="I29" i="5"/>
  <c r="I30" i="5"/>
  <c r="M30" i="5"/>
  <c r="N30" i="5"/>
  <c r="D37" i="4" s="1"/>
  <c r="I32" i="5"/>
  <c r="G35" i="5"/>
  <c r="I35" i="5"/>
  <c r="C34" i="11"/>
  <c r="G36" i="5"/>
  <c r="I36" i="5"/>
  <c r="C35" i="11" s="1"/>
  <c r="G37" i="5"/>
  <c r="I37" i="5"/>
  <c r="C36" i="11"/>
  <c r="M37" i="5"/>
  <c r="N37" i="5"/>
  <c r="D50" i="4" s="1"/>
  <c r="M43" i="5"/>
  <c r="K52" i="5"/>
  <c r="K65" i="5" s="1"/>
  <c r="K53" i="5"/>
  <c r="K66" i="5"/>
  <c r="E23" i="5"/>
  <c r="I33" i="5"/>
  <c r="P37" i="5"/>
  <c r="I31" i="5"/>
  <c r="O30" i="5" s="1"/>
  <c r="E22" i="5"/>
  <c r="I20" i="5"/>
  <c r="N24" i="5" s="1"/>
  <c r="D24" i="4" s="1"/>
  <c r="N22" i="5" s="1"/>
  <c r="H40" i="5"/>
  <c r="P24" i="5"/>
  <c r="D30" i="4" s="1"/>
  <c r="P22" i="5" s="1"/>
  <c r="N43" i="5"/>
  <c r="D63" i="4" s="1"/>
  <c r="C37" i="11"/>
  <c r="C38" i="11"/>
  <c r="D34" i="4" l="1"/>
  <c r="O63" i="4"/>
  <c r="L63" i="4" s="1"/>
  <c r="F24" i="4"/>
  <c r="M24" i="4"/>
  <c r="O24" i="4"/>
  <c r="L24" i="4" s="1"/>
  <c r="F60" i="4"/>
  <c r="O10" i="4"/>
  <c r="L10" i="4" s="1"/>
  <c r="D138" i="13"/>
  <c r="B138" i="13" s="1"/>
  <c r="C12" i="6" s="1"/>
  <c r="D269" i="13"/>
  <c r="B5" i="11" s="1"/>
  <c r="D513" i="13"/>
  <c r="A196" i="12" s="1"/>
  <c r="D536" i="13"/>
  <c r="A219" i="12" s="1"/>
  <c r="D499" i="13"/>
  <c r="A182" i="12" s="1"/>
  <c r="D310" i="13"/>
  <c r="B26" i="3" s="1"/>
  <c r="D192" i="13"/>
  <c r="C72" i="4" s="1"/>
  <c r="D323" i="13"/>
  <c r="B46" i="3" s="1"/>
  <c r="D67" i="13"/>
  <c r="B9" i="2" s="1"/>
  <c r="D133" i="13"/>
  <c r="C29" i="4" s="1"/>
  <c r="D115" i="13"/>
  <c r="C15" i="4" s="1"/>
  <c r="D226" i="13"/>
  <c r="D395" i="13"/>
  <c r="A78" i="12" s="1"/>
  <c r="D365" i="13"/>
  <c r="A48" i="12" s="1"/>
  <c r="D50" i="13"/>
  <c r="D159" i="13"/>
  <c r="B159" i="13" s="1"/>
  <c r="C14" i="6" s="1"/>
  <c r="D248" i="13"/>
  <c r="C8" i="10" s="1"/>
  <c r="D450" i="13"/>
  <c r="A133" i="12" s="1"/>
  <c r="D338" i="13"/>
  <c r="D175" i="13"/>
  <c r="D538" i="13"/>
  <c r="A221" i="12" s="1"/>
  <c r="D472" i="13"/>
  <c r="A155" i="12" s="1"/>
  <c r="D278" i="13"/>
  <c r="B14" i="11" s="1"/>
  <c r="D547" i="13"/>
  <c r="A230" i="12" s="1"/>
  <c r="D111" i="13"/>
  <c r="C12" i="4" s="1"/>
  <c r="D145" i="13"/>
  <c r="D202" i="13"/>
  <c r="C13" i="3" s="1"/>
  <c r="G16" i="5" s="1"/>
  <c r="K6" i="12" s="1"/>
  <c r="D230" i="13"/>
  <c r="D276" i="13"/>
  <c r="B12" i="11" s="1"/>
  <c r="D300" i="13"/>
  <c r="C9" i="3" s="1"/>
  <c r="D327" i="13"/>
  <c r="D376" i="13"/>
  <c r="A59" i="12" s="1"/>
  <c r="D425" i="13"/>
  <c r="A108" i="12" s="1"/>
  <c r="D459" i="13"/>
  <c r="A142" i="12" s="1"/>
  <c r="D526" i="13"/>
  <c r="A209" i="12" s="1"/>
  <c r="D78" i="13"/>
  <c r="D527" i="13"/>
  <c r="A210" i="12" s="1"/>
  <c r="D12" i="13"/>
  <c r="D10" i="1" s="1"/>
  <c r="D140" i="13"/>
  <c r="D345" i="13"/>
  <c r="A28" i="12" s="1"/>
  <c r="D21" i="13"/>
  <c r="D18" i="1" s="1"/>
  <c r="D63" i="13"/>
  <c r="B4" i="2" s="1"/>
  <c r="D554" i="13"/>
  <c r="A237" i="12" s="1"/>
  <c r="D551" i="13"/>
  <c r="A234" i="12" s="1"/>
  <c r="D541" i="13"/>
  <c r="A224" i="12" s="1"/>
  <c r="D531" i="13"/>
  <c r="A214" i="12" s="1"/>
  <c r="D519" i="13"/>
  <c r="A202" i="12" s="1"/>
  <c r="D509" i="13"/>
  <c r="A192" i="12" s="1"/>
  <c r="D493" i="13"/>
  <c r="A176" i="12" s="1"/>
  <c r="D485" i="13"/>
  <c r="A168" i="12" s="1"/>
  <c r="D474" i="13"/>
  <c r="A157" i="12" s="1"/>
  <c r="D465" i="13"/>
  <c r="A148" i="12" s="1"/>
  <c r="D455" i="13"/>
  <c r="A138" i="12" s="1"/>
  <c r="D447" i="13"/>
  <c r="A130" i="12" s="1"/>
  <c r="D430" i="13"/>
  <c r="A113" i="12" s="1"/>
  <c r="D427" i="13"/>
  <c r="A110" i="12" s="1"/>
  <c r="D410" i="13"/>
  <c r="A93" i="12" s="1"/>
  <c r="D402" i="13"/>
  <c r="A85" i="12" s="1"/>
  <c r="D392" i="13"/>
  <c r="A75" i="12" s="1"/>
  <c r="D384" i="13"/>
  <c r="A67" i="12" s="1"/>
  <c r="D372" i="13"/>
  <c r="A55" i="12" s="1"/>
  <c r="D364" i="13"/>
  <c r="A47" i="12" s="1"/>
  <c r="D347" i="13"/>
  <c r="A30" i="12" s="1"/>
  <c r="D339" i="13"/>
  <c r="A22" i="12" s="1"/>
  <c r="D321" i="13"/>
  <c r="C40" i="3" s="1"/>
  <c r="D313" i="13"/>
  <c r="B29" i="3" s="1"/>
  <c r="D296" i="13"/>
  <c r="B32" i="11" s="1"/>
  <c r="D288" i="13"/>
  <c r="B24" i="11" s="1"/>
  <c r="D280" i="13"/>
  <c r="B16" i="11" s="1"/>
  <c r="D272" i="13"/>
  <c r="B8" i="11" s="1"/>
  <c r="D253" i="13"/>
  <c r="C13" i="10" s="1"/>
  <c r="D243" i="13"/>
  <c r="B3" i="9" s="1"/>
  <c r="D214" i="13"/>
  <c r="D208" i="13"/>
  <c r="D193" i="13"/>
  <c r="D166" i="13"/>
  <c r="C52" i="4" s="1"/>
  <c r="D144" i="13"/>
  <c r="D136" i="13"/>
  <c r="C32" i="4" s="1"/>
  <c r="D103" i="13"/>
  <c r="D98" i="13"/>
  <c r="D82" i="4" s="1"/>
  <c r="D83" i="13"/>
  <c r="B12" i="2" s="1"/>
  <c r="D65" i="13"/>
  <c r="B7" i="2" s="1"/>
  <c r="D47" i="13"/>
  <c r="D32" i="13"/>
  <c r="B19" i="1" s="1"/>
  <c r="D14" i="13"/>
  <c r="D12" i="1" s="1"/>
  <c r="D556" i="13"/>
  <c r="A239" i="12" s="1"/>
  <c r="D522" i="13"/>
  <c r="A205" i="12" s="1"/>
  <c r="D381" i="13"/>
  <c r="A64" i="12" s="1"/>
  <c r="D75" i="13"/>
  <c r="D79" i="13"/>
  <c r="B22" i="2" s="1"/>
  <c r="D123" i="13"/>
  <c r="B123" i="13" s="1"/>
  <c r="C10" i="6" s="1"/>
  <c r="D302" i="13"/>
  <c r="F9" i="3" s="1"/>
  <c r="D417" i="13"/>
  <c r="A100" i="12" s="1"/>
  <c r="D528" i="13"/>
  <c r="A211" i="12" s="1"/>
  <c r="D13" i="13"/>
  <c r="D11" i="1" s="1"/>
  <c r="D147" i="13"/>
  <c r="C39" i="4" s="1"/>
  <c r="D371" i="13"/>
  <c r="A54" i="12" s="1"/>
  <c r="D22" i="13"/>
  <c r="D19" i="1" s="1"/>
  <c r="D94" i="13"/>
  <c r="D355" i="13"/>
  <c r="A38" i="12" s="1"/>
  <c r="D553" i="13"/>
  <c r="A236" i="12" s="1"/>
  <c r="D548" i="13"/>
  <c r="A231" i="12" s="1"/>
  <c r="D540" i="13"/>
  <c r="A223" i="12" s="1"/>
  <c r="D521" i="13"/>
  <c r="A204" i="12" s="1"/>
  <c r="D511" i="13"/>
  <c r="A194" i="12" s="1"/>
  <c r="D501" i="13"/>
  <c r="A184" i="12" s="1"/>
  <c r="D492" i="13"/>
  <c r="A175" i="12" s="1"/>
  <c r="D482" i="13"/>
  <c r="A165" i="12" s="1"/>
  <c r="D473" i="13"/>
  <c r="A156" i="12" s="1"/>
  <c r="D457" i="13"/>
  <c r="A140" i="12" s="1"/>
  <c r="D454" i="13"/>
  <c r="A137" i="12" s="1"/>
  <c r="D438" i="13"/>
  <c r="A121" i="12" s="1"/>
  <c r="D429" i="13"/>
  <c r="A112" i="12" s="1"/>
  <c r="D418" i="13"/>
  <c r="A101" i="12" s="1"/>
  <c r="D409" i="13"/>
  <c r="A92" i="12" s="1"/>
  <c r="D399" i="13"/>
  <c r="A82" i="12" s="1"/>
  <c r="D391" i="13"/>
  <c r="A74" i="12" s="1"/>
  <c r="D374" i="13"/>
  <c r="A57" i="12" s="1"/>
  <c r="D366" i="13"/>
  <c r="A49" i="12" s="1"/>
  <c r="D356" i="13"/>
  <c r="A39" i="12" s="1"/>
  <c r="D346" i="13"/>
  <c r="A29" i="12" s="1"/>
  <c r="D320" i="13"/>
  <c r="B40" i="3" s="1"/>
  <c r="D312" i="13"/>
  <c r="B28" i="3" s="1"/>
  <c r="D304" i="13"/>
  <c r="B18" i="3" s="1"/>
  <c r="D287" i="13"/>
  <c r="B23" i="11" s="1"/>
  <c r="D279" i="13"/>
  <c r="B15" i="11" s="1"/>
  <c r="D271" i="13"/>
  <c r="B7" i="11" s="1"/>
  <c r="D262" i="13"/>
  <c r="C22" i="10" s="1"/>
  <c r="D216" i="13"/>
  <c r="D211" i="13"/>
  <c r="D191" i="13"/>
  <c r="D163" i="13"/>
  <c r="D152" i="13"/>
  <c r="C42" i="4" s="1"/>
  <c r="D132" i="13"/>
  <c r="D128" i="13"/>
  <c r="D122" i="13"/>
  <c r="B10" i="6" s="1"/>
  <c r="D113" i="13"/>
  <c r="D107" i="13"/>
  <c r="C8" i="4" s="1"/>
  <c r="D99" i="13"/>
  <c r="D83" i="4" s="1"/>
  <c r="D97" i="13"/>
  <c r="D81" i="4" s="1"/>
  <c r="D91" i="13"/>
  <c r="D81" i="13"/>
  <c r="D59" i="13"/>
  <c r="B38" i="1" s="1"/>
  <c r="D42" i="13"/>
  <c r="B29" i="1" s="1"/>
  <c r="D561" i="13"/>
  <c r="D558" i="13"/>
  <c r="A241" i="12" s="1"/>
  <c r="D543" i="13"/>
  <c r="A226" i="12" s="1"/>
  <c r="D495" i="13"/>
  <c r="A178" i="12" s="1"/>
  <c r="D407" i="13"/>
  <c r="A90" i="12" s="1"/>
  <c r="D76" i="13"/>
  <c r="B18" i="2" s="1"/>
  <c r="D206" i="13"/>
  <c r="B7" i="6" s="1"/>
  <c r="D11" i="13"/>
  <c r="D9" i="1" s="1"/>
  <c r="D46" i="13"/>
  <c r="D286" i="13"/>
  <c r="B22" i="11" s="1"/>
  <c r="D19" i="13"/>
  <c r="D17" i="1" s="1"/>
  <c r="D64" i="13"/>
  <c r="B6" i="2" s="1"/>
  <c r="D95" i="13"/>
  <c r="D185" i="13"/>
  <c r="D555" i="13"/>
  <c r="A238" i="12" s="1"/>
  <c r="D550" i="13"/>
  <c r="A233" i="12" s="1"/>
  <c r="D542" i="13"/>
  <c r="A225" i="12" s="1"/>
  <c r="D530" i="13"/>
  <c r="A213" i="12" s="1"/>
  <c r="D520" i="13"/>
  <c r="A203" i="12" s="1"/>
  <c r="D503" i="13"/>
  <c r="A186" i="12" s="1"/>
  <c r="D494" i="13"/>
  <c r="A177" i="12" s="1"/>
  <c r="D484" i="13"/>
  <c r="A167" i="12" s="1"/>
  <c r="D475" i="13"/>
  <c r="A158" i="12" s="1"/>
  <c r="D464" i="13"/>
  <c r="A147" i="12" s="1"/>
  <c r="D456" i="13"/>
  <c r="A139" i="12" s="1"/>
  <c r="D446" i="13"/>
  <c r="A129" i="12" s="1"/>
  <c r="D437" i="13"/>
  <c r="A120" i="12" s="1"/>
  <c r="D420" i="13"/>
  <c r="A103" i="12" s="1"/>
  <c r="D411" i="13"/>
  <c r="A94" i="12" s="1"/>
  <c r="D401" i="13"/>
  <c r="A84" i="12" s="1"/>
  <c r="D393" i="13"/>
  <c r="A76" i="12" s="1"/>
  <c r="D383" i="13"/>
  <c r="A66" i="12" s="1"/>
  <c r="D373" i="13"/>
  <c r="A56" i="12" s="1"/>
  <c r="D358" i="13"/>
  <c r="A41" i="12" s="1"/>
  <c r="D348" i="13"/>
  <c r="A31" i="12" s="1"/>
  <c r="D335" i="13"/>
  <c r="D319" i="13"/>
  <c r="B39" i="3" s="1"/>
  <c r="D311" i="13"/>
  <c r="B27" i="3" s="1"/>
  <c r="D303" i="13"/>
  <c r="B15" i="3" s="1"/>
  <c r="D295" i="13"/>
  <c r="B31" i="11" s="1"/>
  <c r="D273" i="13"/>
  <c r="B9" i="11" s="1"/>
  <c r="D264" i="13"/>
  <c r="C24" i="10" s="1"/>
  <c r="D255" i="13"/>
  <c r="C15" i="10" s="1"/>
  <c r="D245" i="13"/>
  <c r="C5" i="10" s="1"/>
  <c r="D213" i="13"/>
  <c r="B3" i="6" s="1"/>
  <c r="D210" i="13"/>
  <c r="D207" i="13"/>
  <c r="A5" i="10" s="1"/>
  <c r="D168" i="13"/>
  <c r="D161" i="13"/>
  <c r="D149" i="13"/>
  <c r="D142" i="13"/>
  <c r="C36" i="4" s="1"/>
  <c r="D106" i="13"/>
  <c r="J8" i="4" s="1"/>
  <c r="D96" i="13"/>
  <c r="D8" i="4" s="1"/>
  <c r="D89" i="13"/>
  <c r="D80" i="13"/>
  <c r="B24" i="2" s="1"/>
  <c r="D55" i="13"/>
  <c r="B34" i="1" s="1"/>
  <c r="D41" i="13"/>
  <c r="B27" i="1" s="1"/>
  <c r="D24" i="13"/>
  <c r="D21" i="1" s="1"/>
  <c r="D560" i="13"/>
  <c r="A243" i="12" s="1"/>
  <c r="D557" i="13"/>
  <c r="A240" i="12" s="1"/>
  <c r="D512" i="13"/>
  <c r="A195" i="12" s="1"/>
  <c r="D169" i="13"/>
  <c r="D88" i="13"/>
  <c r="D93" i="13"/>
  <c r="B8" i="4" s="1"/>
  <c r="D552" i="13"/>
  <c r="A235" i="12" s="1"/>
  <c r="D529" i="13"/>
  <c r="A212" i="12" s="1"/>
  <c r="D466" i="13"/>
  <c r="A149" i="12" s="1"/>
  <c r="D439" i="13"/>
  <c r="A122" i="12" s="1"/>
  <c r="D385" i="13"/>
  <c r="A68" i="12" s="1"/>
  <c r="D357" i="13"/>
  <c r="A40" i="12" s="1"/>
  <c r="D281" i="13"/>
  <c r="B17" i="11" s="1"/>
  <c r="D244" i="13"/>
  <c r="C4" i="10" s="1"/>
  <c r="D198" i="13"/>
  <c r="D139" i="13"/>
  <c r="D109" i="13"/>
  <c r="D85" i="13"/>
  <c r="D23" i="13"/>
  <c r="D20" i="1" s="1"/>
  <c r="D504" i="13"/>
  <c r="A187" i="12" s="1"/>
  <c r="D476" i="13"/>
  <c r="A159" i="12" s="1"/>
  <c r="D449" i="13"/>
  <c r="A132" i="12" s="1"/>
  <c r="D403" i="13"/>
  <c r="A86" i="12" s="1"/>
  <c r="D375" i="13"/>
  <c r="A58" i="12" s="1"/>
  <c r="D336" i="13"/>
  <c r="D314" i="13"/>
  <c r="D29" i="3" s="1"/>
  <c r="D290" i="13"/>
  <c r="B26" i="11" s="1"/>
  <c r="D247" i="13"/>
  <c r="D199" i="13"/>
  <c r="D188" i="13"/>
  <c r="C69" i="4" s="1"/>
  <c r="D182" i="13"/>
  <c r="D170" i="13"/>
  <c r="C55" i="4" s="1"/>
  <c r="D155" i="13"/>
  <c r="D117" i="13"/>
  <c r="D102" i="13"/>
  <c r="F8" i="4" s="1"/>
  <c r="D86" i="13"/>
  <c r="D70" i="13"/>
  <c r="D57" i="13"/>
  <c r="B36" i="1" s="1"/>
  <c r="D52" i="13"/>
  <c r="M2" i="3" s="1"/>
  <c r="D35" i="13"/>
  <c r="B22" i="1" s="1"/>
  <c r="D25" i="13"/>
  <c r="D22" i="1" s="1"/>
  <c r="D15" i="13"/>
  <c r="D13" i="1" s="1"/>
  <c r="D5" i="13"/>
  <c r="D74" i="13"/>
  <c r="D329" i="13"/>
  <c r="F51" i="4" s="1"/>
  <c r="D153" i="13"/>
  <c r="D549" i="13"/>
  <c r="A232" i="12" s="1"/>
  <c r="D491" i="13"/>
  <c r="A174" i="12" s="1"/>
  <c r="D463" i="13"/>
  <c r="A146" i="12" s="1"/>
  <c r="D408" i="13"/>
  <c r="A91" i="12" s="1"/>
  <c r="D382" i="13"/>
  <c r="A65" i="12" s="1"/>
  <c r="D305" i="13"/>
  <c r="B19" i="3" s="1"/>
  <c r="D215" i="13"/>
  <c r="D130" i="13"/>
  <c r="D559" i="13"/>
  <c r="A242" i="12" s="1"/>
  <c r="D467" i="13"/>
  <c r="A150" i="12" s="1"/>
  <c r="D421" i="13"/>
  <c r="A104" i="12" s="1"/>
  <c r="D394" i="13"/>
  <c r="A77" i="12" s="1"/>
  <c r="D349" i="13"/>
  <c r="A32" i="12" s="1"/>
  <c r="D331" i="13"/>
  <c r="D306" i="13"/>
  <c r="B20" i="3" s="1"/>
  <c r="D265" i="13"/>
  <c r="C25" i="10" s="1"/>
  <c r="D246" i="13"/>
  <c r="C6" i="10" s="1"/>
  <c r="D194" i="13"/>
  <c r="B3" i="3" s="1"/>
  <c r="D186" i="13"/>
  <c r="D174" i="13"/>
  <c r="C58" i="4" s="1"/>
  <c r="D165" i="13"/>
  <c r="D124" i="13"/>
  <c r="D112" i="13"/>
  <c r="D101" i="13"/>
  <c r="D85" i="4" s="1"/>
  <c r="D82" i="13"/>
  <c r="D69" i="13"/>
  <c r="D66" i="13"/>
  <c r="B8" i="2" s="1"/>
  <c r="D56" i="13"/>
  <c r="B35" i="1" s="1"/>
  <c r="D48" i="13"/>
  <c r="D27" i="13"/>
  <c r="D24" i="1" s="1"/>
  <c r="D17" i="13"/>
  <c r="D15" i="1" s="1"/>
  <c r="D7" i="13"/>
  <c r="B5" i="1" s="1"/>
  <c r="D4" i="13"/>
  <c r="B2" i="1" s="1"/>
  <c r="D545" i="13"/>
  <c r="A228" i="12" s="1"/>
  <c r="D535" i="13"/>
  <c r="A218" i="12" s="1"/>
  <c r="D533" i="13"/>
  <c r="A216" i="12" s="1"/>
  <c r="D525" i="13"/>
  <c r="A208" i="12" s="1"/>
  <c r="D523" i="13"/>
  <c r="A206" i="12" s="1"/>
  <c r="D516" i="13"/>
  <c r="A199" i="12" s="1"/>
  <c r="D514" i="13"/>
  <c r="A197" i="12" s="1"/>
  <c r="D507" i="13"/>
  <c r="A190" i="12" s="1"/>
  <c r="D505" i="13"/>
  <c r="A188" i="12" s="1"/>
  <c r="D497" i="13"/>
  <c r="A180" i="12" s="1"/>
  <c r="D489" i="13"/>
  <c r="A172" i="12" s="1"/>
  <c r="D487" i="13"/>
  <c r="A170" i="12" s="1"/>
  <c r="D479" i="13"/>
  <c r="A162" i="12" s="1"/>
  <c r="D477" i="13"/>
  <c r="A160" i="12" s="1"/>
  <c r="D470" i="13"/>
  <c r="A153" i="12" s="1"/>
  <c r="D468" i="13"/>
  <c r="A151" i="12" s="1"/>
  <c r="D77" i="13"/>
  <c r="D490" i="13"/>
  <c r="A173" i="12" s="1"/>
  <c r="D20" i="13"/>
  <c r="D270" i="13"/>
  <c r="B6" i="11" s="1"/>
  <c r="D510" i="13"/>
  <c r="A193" i="12" s="1"/>
  <c r="D483" i="13"/>
  <c r="A166" i="12" s="1"/>
  <c r="D428" i="13"/>
  <c r="A111" i="12" s="1"/>
  <c r="D400" i="13"/>
  <c r="A83" i="12" s="1"/>
  <c r="D340" i="13"/>
  <c r="A23" i="12" s="1"/>
  <c r="D297" i="13"/>
  <c r="B7" i="3" s="1"/>
  <c r="D263" i="13"/>
  <c r="C23" i="10" s="1"/>
  <c r="D212" i="13"/>
  <c r="I2" i="6" s="1"/>
  <c r="D158" i="13"/>
  <c r="D125" i="13"/>
  <c r="D51" i="13"/>
  <c r="D486" i="13"/>
  <c r="A169" i="12" s="1"/>
  <c r="D440" i="13"/>
  <c r="A123" i="12" s="1"/>
  <c r="D412" i="13"/>
  <c r="A95" i="12" s="1"/>
  <c r="D367" i="13"/>
  <c r="A50" i="12" s="1"/>
  <c r="D341" i="13"/>
  <c r="A24" i="12" s="1"/>
  <c r="D322" i="13"/>
  <c r="D40" i="3" s="1"/>
  <c r="D282" i="13"/>
  <c r="B18" i="11" s="1"/>
  <c r="D256" i="13"/>
  <c r="C16" i="10" s="1"/>
  <c r="D218" i="13"/>
  <c r="K7" i="6" s="1"/>
  <c r="D190" i="13"/>
  <c r="D179" i="13"/>
  <c r="C62" i="4" s="1"/>
  <c r="D172" i="13"/>
  <c r="D151" i="13"/>
  <c r="D121" i="13"/>
  <c r="D108" i="13"/>
  <c r="D100" i="13"/>
  <c r="D84" i="4" s="1"/>
  <c r="D72" i="13"/>
  <c r="D68" i="13"/>
  <c r="B10" i="2" s="1"/>
  <c r="D60" i="13"/>
  <c r="B40" i="1" s="1"/>
  <c r="D44" i="13"/>
  <c r="D34" i="13"/>
  <c r="B21" i="1" s="1"/>
  <c r="D26" i="13"/>
  <c r="D23" i="1" s="1"/>
  <c r="D9" i="13"/>
  <c r="B8" i="1" s="1"/>
  <c r="D6" i="13"/>
  <c r="B3" i="1" s="1"/>
  <c r="D1" i="13"/>
  <c r="D448" i="13"/>
  <c r="A131" i="12" s="1"/>
  <c r="D330" i="13"/>
  <c r="F42" i="4" s="1"/>
  <c r="D146" i="13"/>
  <c r="D532" i="13"/>
  <c r="A215" i="12" s="1"/>
  <c r="D217" i="13"/>
  <c r="G7" i="6" s="1"/>
  <c r="D546" i="13"/>
  <c r="A229" i="12" s="1"/>
  <c r="D524" i="13"/>
  <c r="A207" i="12" s="1"/>
  <c r="D506" i="13"/>
  <c r="A189" i="12" s="1"/>
  <c r="D480" i="13"/>
  <c r="A163" i="12" s="1"/>
  <c r="D461" i="13"/>
  <c r="A144" i="12" s="1"/>
  <c r="D452" i="13"/>
  <c r="A135" i="12" s="1"/>
  <c r="D442" i="13"/>
  <c r="A125" i="12" s="1"/>
  <c r="D433" i="13"/>
  <c r="A116" i="12" s="1"/>
  <c r="D422" i="13"/>
  <c r="A105" i="12" s="1"/>
  <c r="D414" i="13"/>
  <c r="A97" i="12" s="1"/>
  <c r="D397" i="13"/>
  <c r="A80" i="12" s="1"/>
  <c r="D389" i="13"/>
  <c r="A72" i="12" s="1"/>
  <c r="D378" i="13"/>
  <c r="A61" i="12" s="1"/>
  <c r="D370" i="13"/>
  <c r="A53" i="12" s="1"/>
  <c r="D368" i="13"/>
  <c r="A51" i="12" s="1"/>
  <c r="D361" i="13"/>
  <c r="A44" i="12" s="1"/>
  <c r="D354" i="13"/>
  <c r="A37" i="12" s="1"/>
  <c r="D352" i="13"/>
  <c r="A35" i="12" s="1"/>
  <c r="D350" i="13"/>
  <c r="A33" i="12" s="1"/>
  <c r="D343" i="13"/>
  <c r="A26" i="12" s="1"/>
  <c r="D333" i="13"/>
  <c r="D326" i="13"/>
  <c r="D315" i="13"/>
  <c r="B33" i="3" s="1"/>
  <c r="D307" i="13"/>
  <c r="B21" i="3" s="1"/>
  <c r="D292" i="13"/>
  <c r="B28" i="11" s="1"/>
  <c r="D266" i="13"/>
  <c r="C26" i="10" s="1"/>
  <c r="D250" i="13"/>
  <c r="C10" i="10" s="1"/>
  <c r="D241" i="13"/>
  <c r="B3" i="7" s="1"/>
  <c r="D237" i="13"/>
  <c r="D233" i="13"/>
  <c r="D229" i="13"/>
  <c r="D225" i="13"/>
  <c r="D221" i="13"/>
  <c r="D205" i="13"/>
  <c r="A6" i="10" s="1"/>
  <c r="D200" i="13"/>
  <c r="D181" i="13"/>
  <c r="D162" i="13"/>
  <c r="C49" i="4" s="1"/>
  <c r="D148" i="13"/>
  <c r="D143" i="13"/>
  <c r="D134" i="13"/>
  <c r="D129" i="13"/>
  <c r="C26" i="4" s="1"/>
  <c r="D120" i="13"/>
  <c r="D61" i="13"/>
  <c r="B41" i="1" s="1"/>
  <c r="D28" i="13"/>
  <c r="B10" i="1" s="1"/>
  <c r="D2" i="13"/>
  <c r="D30" i="13"/>
  <c r="B17" i="1" s="1"/>
  <c r="D37" i="13"/>
  <c r="B24" i="1" s="1"/>
  <c r="D104" i="13"/>
  <c r="H8" i="4" s="1"/>
  <c r="D114" i="13"/>
  <c r="D137" i="13"/>
  <c r="D201" i="13"/>
  <c r="D481" i="13"/>
  <c r="A164" i="12" s="1"/>
  <c r="D156" i="13"/>
  <c r="D126" i="13"/>
  <c r="D164" i="13"/>
  <c r="D180" i="13"/>
  <c r="D390" i="13"/>
  <c r="A73" i="12" s="1"/>
  <c r="D453" i="13"/>
  <c r="A136" i="12" s="1"/>
  <c r="D500" i="13"/>
  <c r="A183" i="12" s="1"/>
  <c r="D318" i="13"/>
  <c r="B38" i="3" s="1"/>
  <c r="D539" i="13"/>
  <c r="A222" i="12" s="1"/>
  <c r="D419" i="13"/>
  <c r="A102" i="12" s="1"/>
  <c r="D289" i="13"/>
  <c r="B25" i="11" s="1"/>
  <c r="D118" i="13"/>
  <c r="C18" i="4" s="1"/>
  <c r="D386" i="13"/>
  <c r="A69" i="12" s="1"/>
  <c r="D298" i="13"/>
  <c r="B8" i="3" s="1"/>
  <c r="D160" i="13"/>
  <c r="D90" i="13"/>
  <c r="B3" i="4" s="1"/>
  <c r="D53" i="13"/>
  <c r="M3" i="3" s="1"/>
  <c r="D16" i="13"/>
  <c r="D14" i="1" s="1"/>
  <c r="D544" i="13"/>
  <c r="A227" i="12" s="1"/>
  <c r="D517" i="13"/>
  <c r="A200" i="12" s="1"/>
  <c r="D498" i="13"/>
  <c r="A181" i="12" s="1"/>
  <c r="D478" i="13"/>
  <c r="A161" i="12" s="1"/>
  <c r="D460" i="13"/>
  <c r="A143" i="12" s="1"/>
  <c r="D444" i="13"/>
  <c r="A127" i="12" s="1"/>
  <c r="D441" i="13"/>
  <c r="A124" i="12" s="1"/>
  <c r="D424" i="13"/>
  <c r="A107" i="12" s="1"/>
  <c r="D416" i="13"/>
  <c r="A99" i="12" s="1"/>
  <c r="D405" i="13"/>
  <c r="A88" i="12" s="1"/>
  <c r="D396" i="13"/>
  <c r="A79" i="12" s="1"/>
  <c r="D380" i="13"/>
  <c r="A63" i="12" s="1"/>
  <c r="D377" i="13"/>
  <c r="A60" i="12" s="1"/>
  <c r="D332" i="13"/>
  <c r="D325" i="13"/>
  <c r="D317" i="13"/>
  <c r="B37" i="3" s="1"/>
  <c r="D309" i="13"/>
  <c r="B23" i="3" s="1"/>
  <c r="D299" i="13"/>
  <c r="B9" i="3" s="1"/>
  <c r="D291" i="13"/>
  <c r="B27" i="11" s="1"/>
  <c r="D284" i="13"/>
  <c r="B20" i="11" s="1"/>
  <c r="D277" i="13"/>
  <c r="B13" i="11" s="1"/>
  <c r="D275" i="13"/>
  <c r="B11" i="11" s="1"/>
  <c r="D268" i="13"/>
  <c r="B4" i="11" s="1"/>
  <c r="D260" i="13"/>
  <c r="C20" i="10" s="1"/>
  <c r="D257" i="13"/>
  <c r="C17" i="10" s="1"/>
  <c r="D249" i="13"/>
  <c r="C9" i="10" s="1"/>
  <c r="D240" i="13"/>
  <c r="D236" i="13"/>
  <c r="D232" i="13"/>
  <c r="D228" i="13"/>
  <c r="B23" i="8" s="1"/>
  <c r="D224" i="13"/>
  <c r="D204" i="13"/>
  <c r="A2" i="10" s="1"/>
  <c r="D196" i="13"/>
  <c r="D176" i="13"/>
  <c r="D157" i="13"/>
  <c r="C45" i="4" s="1"/>
  <c r="D87" i="13"/>
  <c r="D49" i="13"/>
  <c r="D18" i="13"/>
  <c r="D16" i="1" s="1"/>
  <c r="D3" i="13"/>
  <c r="D171" i="13"/>
  <c r="D261" i="13"/>
  <c r="C21" i="10" s="1"/>
  <c r="D508" i="13"/>
  <c r="A191" i="12" s="1"/>
  <c r="D54" i="13"/>
  <c r="B33" i="1" s="1"/>
  <c r="D189" i="13"/>
  <c r="D252" i="13"/>
  <c r="C12" i="10" s="1"/>
  <c r="D294" i="13"/>
  <c r="B30" i="11" s="1"/>
  <c r="D363" i="13"/>
  <c r="A46" i="12" s="1"/>
  <c r="D436" i="13"/>
  <c r="A119" i="12" s="1"/>
  <c r="D502" i="13"/>
  <c r="A185" i="12" s="1"/>
  <c r="D254" i="13"/>
  <c r="C14" i="10" s="1"/>
  <c r="D92" i="13"/>
  <c r="D458" i="13"/>
  <c r="A141" i="12" s="1"/>
  <c r="D359" i="13"/>
  <c r="A42" i="12" s="1"/>
  <c r="D274" i="13"/>
  <c r="B10" i="11" s="1"/>
  <c r="D184" i="13"/>
  <c r="C66" i="4" s="1"/>
  <c r="D135" i="13"/>
  <c r="D71" i="13"/>
  <c r="D43" i="13"/>
  <c r="B31" i="1" s="1"/>
  <c r="D8" i="13"/>
  <c r="B6" i="1" s="1"/>
  <c r="D534" i="13"/>
  <c r="A217" i="12" s="1"/>
  <c r="D515" i="13"/>
  <c r="A198" i="12" s="1"/>
  <c r="D496" i="13"/>
  <c r="A179" i="12" s="1"/>
  <c r="D471" i="13"/>
  <c r="A154" i="12" s="1"/>
  <c r="D451" i="13"/>
  <c r="A134" i="12" s="1"/>
  <c r="D443" i="13"/>
  <c r="A126" i="12" s="1"/>
  <c r="D432" i="13"/>
  <c r="A115" i="12" s="1"/>
  <c r="D423" i="13"/>
  <c r="A106" i="12" s="1"/>
  <c r="D413" i="13"/>
  <c r="A96" i="12" s="1"/>
  <c r="D404" i="13"/>
  <c r="A87" i="12" s="1"/>
  <c r="D388" i="13"/>
  <c r="A71" i="12" s="1"/>
  <c r="D379" i="13"/>
  <c r="A62" i="12" s="1"/>
  <c r="D369" i="13"/>
  <c r="A52" i="12" s="1"/>
  <c r="D362" i="13"/>
  <c r="A45" i="12" s="1"/>
  <c r="D360" i="13"/>
  <c r="A43" i="12" s="1"/>
  <c r="D353" i="13"/>
  <c r="A36" i="12" s="1"/>
  <c r="D351" i="13"/>
  <c r="A34" i="12" s="1"/>
  <c r="D344" i="13"/>
  <c r="A27" i="12" s="1"/>
  <c r="D342" i="13"/>
  <c r="D328" i="13"/>
  <c r="D324" i="13"/>
  <c r="H39" i="5" s="1"/>
  <c r="C46" i="3" s="1"/>
  <c r="D316" i="13"/>
  <c r="B34" i="3" s="1"/>
  <c r="D301" i="13"/>
  <c r="D9" i="3" s="1"/>
  <c r="D293" i="13"/>
  <c r="B29" i="11" s="1"/>
  <c r="D259" i="13"/>
  <c r="C19" i="10" s="1"/>
  <c r="D251" i="13"/>
  <c r="C11" i="10" s="1"/>
  <c r="D239" i="13"/>
  <c r="D235" i="13"/>
  <c r="D231" i="13"/>
  <c r="D227" i="13"/>
  <c r="D223" i="13"/>
  <c r="D220" i="13"/>
  <c r="D203" i="13"/>
  <c r="D195" i="13"/>
  <c r="B4" i="3" s="1"/>
  <c r="D167" i="13"/>
  <c r="D141" i="13"/>
  <c r="D131" i="13"/>
  <c r="D127" i="13"/>
  <c r="D116" i="13"/>
  <c r="B116" i="13" s="1"/>
  <c r="K8" i="6" s="1"/>
  <c r="D73" i="13"/>
  <c r="B14" i="2" s="1"/>
  <c r="D45" i="13"/>
  <c r="D10" i="13"/>
  <c r="B9" i="1" s="1"/>
  <c r="D29" i="13"/>
  <c r="B11" i="1" s="1"/>
  <c r="D31" i="13"/>
  <c r="B18" i="1" s="1"/>
  <c r="D39" i="13"/>
  <c r="D105" i="13"/>
  <c r="I8" i="4" s="1"/>
  <c r="D119" i="13"/>
  <c r="D154" i="13"/>
  <c r="D187" i="13"/>
  <c r="D398" i="13"/>
  <c r="A81" i="12" s="1"/>
  <c r="D518" i="13"/>
  <c r="A201" i="12" s="1"/>
  <c r="D110" i="13"/>
  <c r="D173" i="13"/>
  <c r="D197" i="13"/>
  <c r="D183" i="13"/>
  <c r="C65" i="4" s="1"/>
  <c r="D462" i="13"/>
  <c r="A145" i="12" s="1"/>
  <c r="D242" i="13"/>
  <c r="B3" i="8" s="1"/>
  <c r="D445" i="13"/>
  <c r="A128" i="12" s="1"/>
  <c r="D150" i="13"/>
  <c r="D219" i="13"/>
  <c r="D234" i="13"/>
  <c r="D258" i="13"/>
  <c r="C18" i="10" s="1"/>
  <c r="D283" i="13"/>
  <c r="B19" i="11" s="1"/>
  <c r="D308" i="13"/>
  <c r="B22" i="3" s="1"/>
  <c r="D406" i="13"/>
  <c r="A89" i="12" s="1"/>
  <c r="D434" i="13"/>
  <c r="A117" i="12" s="1"/>
  <c r="D469" i="13"/>
  <c r="A152" i="12" s="1"/>
  <c r="D177" i="13"/>
  <c r="D40" i="13"/>
  <c r="B26" i="1" s="1"/>
  <c r="D62" i="13"/>
  <c r="B3" i="2" s="1"/>
  <c r="D426" i="13"/>
  <c r="A109" i="12" s="1"/>
  <c r="D58" i="13"/>
  <c r="B37" i="1" s="1"/>
  <c r="D537" i="13"/>
  <c r="A220" i="12" s="1"/>
  <c r="D435" i="13"/>
  <c r="A118" i="12" s="1"/>
  <c r="D178" i="13"/>
  <c r="D84" i="13"/>
  <c r="D36" i="13"/>
  <c r="B23" i="1" s="1"/>
  <c r="D222" i="13"/>
  <c r="D238" i="13"/>
  <c r="D267" i="13"/>
  <c r="D285" i="13"/>
  <c r="B21" i="11" s="1"/>
  <c r="D387" i="13"/>
  <c r="A70" i="12" s="1"/>
  <c r="D415" i="13"/>
  <c r="A98" i="12" s="1"/>
  <c r="D488" i="13"/>
  <c r="A171" i="12" s="1"/>
  <c r="D33" i="13"/>
  <c r="B20" i="1" s="1"/>
  <c r="D209" i="13"/>
  <c r="D334" i="13"/>
  <c r="D337" i="13"/>
  <c r="M30" i="4"/>
  <c r="O30" i="4"/>
  <c r="L30" i="4" s="1"/>
  <c r="F30" i="4"/>
  <c r="D13" i="4"/>
  <c r="F13" i="4"/>
  <c r="O13" i="4"/>
  <c r="L13" i="4" s="1"/>
  <c r="O50" i="4"/>
  <c r="L50" i="4" s="1"/>
  <c r="F10" i="4"/>
  <c r="K153" i="15"/>
  <c r="K3" i="15"/>
  <c r="I5" i="15"/>
  <c r="C24" i="12" s="1"/>
  <c r="K103" i="15"/>
  <c r="K200" i="15"/>
  <c r="K57" i="15"/>
  <c r="C34" i="4" l="1"/>
  <c r="C35" i="4" s="1"/>
  <c r="F71" i="4"/>
  <c r="B22" i="7"/>
  <c r="D60" i="4"/>
  <c r="F50" i="4"/>
  <c r="F34" i="4"/>
  <c r="O34" i="4"/>
  <c r="L34" i="4" s="1"/>
  <c r="N24" i="4"/>
  <c r="F63" i="4"/>
  <c r="E63" i="4"/>
  <c r="O40" i="4"/>
  <c r="L40" i="4" s="1"/>
  <c r="F40" i="4"/>
  <c r="O37" i="4"/>
  <c r="L37" i="4" s="1"/>
  <c r="F37" i="4"/>
  <c r="E37" i="4"/>
  <c r="D40" i="4"/>
  <c r="M40" i="4" s="1"/>
  <c r="D56" i="4"/>
  <c r="E56" i="4" s="1"/>
  <c r="O56" i="4"/>
  <c r="L56" i="4" s="1"/>
  <c r="F56" i="4"/>
  <c r="B12" i="3"/>
  <c r="F15" i="5" s="1"/>
  <c r="E15" i="5" s="1"/>
  <c r="J5" i="12" s="1"/>
  <c r="B11" i="3"/>
  <c r="F14" i="5" s="1"/>
  <c r="E14" i="5" s="1"/>
  <c r="J4" i="12" s="1"/>
  <c r="B10" i="3"/>
  <c r="F13" i="5" s="1"/>
  <c r="E13" i="5" s="1"/>
  <c r="J3" i="12" s="1"/>
  <c r="D10" i="3"/>
  <c r="B2" i="4"/>
  <c r="B14" i="3"/>
  <c r="F17" i="5" s="1"/>
  <c r="E17" i="5" s="1"/>
  <c r="J7" i="12" s="1"/>
  <c r="L7" i="12" s="1"/>
  <c r="M7" i="12" s="1"/>
  <c r="D11" i="3"/>
  <c r="B20" i="7"/>
  <c r="A25" i="12"/>
  <c r="B19" i="7"/>
  <c r="C16" i="4"/>
  <c r="C17" i="4" s="1"/>
  <c r="B38" i="9"/>
  <c r="F55" i="4"/>
  <c r="F69" i="4"/>
  <c r="F62" i="4"/>
  <c r="F12" i="4"/>
  <c r="E30" i="4"/>
  <c r="F68" i="4"/>
  <c r="C22" i="4"/>
  <c r="C23" i="4" s="1"/>
  <c r="F58" i="4"/>
  <c r="B43" i="3"/>
  <c r="F37" i="5" s="1"/>
  <c r="H37" i="5" s="1"/>
  <c r="A36" i="11" s="1"/>
  <c r="N30" i="4"/>
  <c r="C47" i="4"/>
  <c r="C48" i="4" s="1"/>
  <c r="C21" i="4"/>
  <c r="D15" i="3"/>
  <c r="H18" i="5" s="1"/>
  <c r="D8" i="12" s="1"/>
  <c r="B30" i="3"/>
  <c r="H27" i="5" s="1"/>
  <c r="A1" i="10"/>
  <c r="B119" i="13"/>
  <c r="O8" i="6" s="1"/>
  <c r="C19" i="4"/>
  <c r="C20" i="4" s="1"/>
  <c r="B167" i="13"/>
  <c r="K14" i="6" s="1"/>
  <c r="C53" i="4"/>
  <c r="C54" i="4" s="1"/>
  <c r="C60" i="4"/>
  <c r="C61" i="4" s="1"/>
  <c r="B176" i="13"/>
  <c r="C16" i="6" s="1"/>
  <c r="C63" i="4"/>
  <c r="C64" i="4" s="1"/>
  <c r="B180" i="13"/>
  <c r="G16" i="6" s="1"/>
  <c r="C30" i="4"/>
  <c r="C31" i="4" s="1"/>
  <c r="B134" i="13"/>
  <c r="O10" i="6" s="1"/>
  <c r="C46" i="4"/>
  <c r="B14" i="6"/>
  <c r="B21" i="8"/>
  <c r="B158" i="13"/>
  <c r="B36" i="3" s="1"/>
  <c r="B15" i="2"/>
  <c r="B19" i="2"/>
  <c r="C67" i="4"/>
  <c r="C68" i="4" s="1"/>
  <c r="B185" i="13"/>
  <c r="K16" i="6" s="1"/>
  <c r="A4" i="10"/>
  <c r="B244" i="13"/>
  <c r="C24" i="4"/>
  <c r="C25" i="4" s="1"/>
  <c r="B127" i="13"/>
  <c r="G10" i="6" s="1"/>
  <c r="C37" i="4"/>
  <c r="C38" i="4" s="1"/>
  <c r="B143" i="13"/>
  <c r="G12" i="6" s="1"/>
  <c r="B5" i="4"/>
  <c r="B5" i="6"/>
  <c r="B2" i="2"/>
  <c r="B2" i="8"/>
  <c r="B2" i="6"/>
  <c r="B2" i="9"/>
  <c r="B2" i="3"/>
  <c r="B2" i="7"/>
  <c r="C7" i="6"/>
  <c r="B18" i="7"/>
  <c r="B16" i="2"/>
  <c r="B20" i="2"/>
  <c r="L13" i="6"/>
  <c r="H15" i="6"/>
  <c r="D18" i="8"/>
  <c r="P11" i="6"/>
  <c r="D23" i="8"/>
  <c r="D19" i="7"/>
  <c r="D22" i="7"/>
  <c r="D38" i="9"/>
  <c r="D25" i="9"/>
  <c r="D17" i="6"/>
  <c r="D22" i="9"/>
  <c r="D30" i="9"/>
  <c r="P15" i="6"/>
  <c r="D13" i="6"/>
  <c r="D21" i="9"/>
  <c r="D35" i="9"/>
  <c r="D27" i="9"/>
  <c r="D11" i="6"/>
  <c r="H9" i="6"/>
  <c r="D32" i="9"/>
  <c r="D9" i="6"/>
  <c r="D22" i="8"/>
  <c r="D19" i="9"/>
  <c r="H11" i="6"/>
  <c r="D20" i="9"/>
  <c r="D36" i="9"/>
  <c r="P13" i="6"/>
  <c r="P9" i="6"/>
  <c r="D33" i="9"/>
  <c r="D24" i="9"/>
  <c r="D21" i="7"/>
  <c r="D15" i="6"/>
  <c r="D37" i="9"/>
  <c r="D23" i="9"/>
  <c r="D20" i="7"/>
  <c r="D34" i="9"/>
  <c r="L9" i="6"/>
  <c r="H17" i="6"/>
  <c r="D19" i="8"/>
  <c r="L15" i="6"/>
  <c r="D26" i="9"/>
  <c r="D18" i="7"/>
  <c r="L17" i="6"/>
  <c r="D29" i="9"/>
  <c r="D21" i="8"/>
  <c r="H13" i="6"/>
  <c r="D31" i="9"/>
  <c r="D20" i="8"/>
  <c r="L11" i="6"/>
  <c r="D28" i="9"/>
  <c r="D18" i="9"/>
  <c r="P17" i="6"/>
  <c r="B32" i="3"/>
  <c r="D14" i="3"/>
  <c r="B41" i="3"/>
  <c r="F35" i="5" s="1"/>
  <c r="H35" i="5" s="1"/>
  <c r="D12" i="3"/>
  <c r="B42" i="3"/>
  <c r="F36" i="5" s="1"/>
  <c r="H36" i="5" s="1"/>
  <c r="A35" i="11" s="1"/>
  <c r="K35" i="11" s="1"/>
  <c r="B31" i="3"/>
  <c r="B13" i="3"/>
  <c r="F16" i="5" s="1"/>
  <c r="E16" i="5" s="1"/>
  <c r="J6" i="12" s="1"/>
  <c r="D13" i="3"/>
  <c r="C70" i="4"/>
  <c r="C71" i="4" s="1"/>
  <c r="B189" i="13"/>
  <c r="O16" i="6" s="1"/>
  <c r="C56" i="4"/>
  <c r="C57" i="4" s="1"/>
  <c r="B171" i="13"/>
  <c r="O14" i="6" s="1"/>
  <c r="B137" i="13"/>
  <c r="B25" i="3" s="1"/>
  <c r="B12" i="6"/>
  <c r="B20" i="8"/>
  <c r="C33" i="4"/>
  <c r="B148" i="13"/>
  <c r="K12" i="6" s="1"/>
  <c r="C40" i="4"/>
  <c r="C41" i="4" s="1"/>
  <c r="B130" i="13"/>
  <c r="K10" i="6" s="1"/>
  <c r="C27" i="4"/>
  <c r="C28" i="4" s="1"/>
  <c r="B153" i="13"/>
  <c r="O12" i="6" s="1"/>
  <c r="C43" i="4"/>
  <c r="C44" i="4" s="1"/>
  <c r="B19" i="8"/>
  <c r="B122" i="13"/>
  <c r="B17" i="3" s="1"/>
  <c r="B163" i="13"/>
  <c r="G14" i="6" s="1"/>
  <c r="C50" i="4"/>
  <c r="C51" i="4" s="1"/>
  <c r="E13" i="12"/>
  <c r="F13" i="12" s="1"/>
  <c r="C59" i="4"/>
  <c r="B175" i="13"/>
  <c r="B45" i="3" s="1"/>
  <c r="B22" i="8"/>
  <c r="B16" i="6"/>
  <c r="B21" i="7"/>
  <c r="O7" i="6"/>
  <c r="I4" i="6"/>
  <c r="F4" i="4"/>
  <c r="B74" i="4"/>
  <c r="B17" i="9"/>
  <c r="B17" i="8"/>
  <c r="B17" i="7"/>
  <c r="F32" i="4"/>
  <c r="F26" i="4"/>
  <c r="F45" i="4"/>
  <c r="F18" i="4"/>
  <c r="F65" i="4"/>
  <c r="F49" i="4"/>
  <c r="F52" i="4"/>
  <c r="F39" i="4"/>
  <c r="F36" i="4"/>
  <c r="F15" i="4"/>
  <c r="F66" i="4"/>
  <c r="F72" i="4"/>
  <c r="F29" i="4"/>
  <c r="C9" i="4"/>
  <c r="B8" i="6"/>
  <c r="B108" i="13"/>
  <c r="B6" i="3" s="1"/>
  <c r="B18" i="8"/>
  <c r="C13" i="4"/>
  <c r="C14" i="4" s="1"/>
  <c r="B112" i="13"/>
  <c r="G8" i="6" s="1"/>
  <c r="F48" i="4"/>
  <c r="F64" i="4"/>
  <c r="F23" i="4"/>
  <c r="F38" i="4"/>
  <c r="F61" i="4"/>
  <c r="F44" i="4"/>
  <c r="F57" i="4"/>
  <c r="F41" i="4"/>
  <c r="F20" i="4"/>
  <c r="F54" i="4"/>
  <c r="F31" i="4"/>
  <c r="F14" i="4"/>
  <c r="F17" i="4"/>
  <c r="F35" i="4"/>
  <c r="F25" i="4"/>
  <c r="F28" i="4"/>
  <c r="F11" i="4"/>
  <c r="B109" i="13"/>
  <c r="C8" i="6" s="1"/>
  <c r="C10" i="4"/>
  <c r="C11" i="4" s="1"/>
  <c r="E24" i="4"/>
  <c r="C11" i="3"/>
  <c r="G14" i="5" s="1"/>
  <c r="K4" i="12" s="1"/>
  <c r="C10" i="3"/>
  <c r="G13" i="5" s="1"/>
  <c r="K3" i="12" s="1"/>
  <c r="C14" i="3"/>
  <c r="G17" i="5" s="1"/>
  <c r="K7" i="12" s="1"/>
  <c r="C12" i="3"/>
  <c r="G15" i="5" s="1"/>
  <c r="K5" i="12" s="1"/>
  <c r="E60" i="4"/>
  <c r="M41" i="5"/>
  <c r="M66" i="5" s="1"/>
  <c r="M60" i="4"/>
  <c r="M13" i="4"/>
  <c r="N13" i="4" s="1"/>
  <c r="N14" i="5"/>
  <c r="E13" i="4"/>
  <c r="I54" i="15"/>
  <c r="C79" i="12" s="1"/>
  <c r="I53" i="15"/>
  <c r="C72" i="12" s="1"/>
  <c r="C238" i="12"/>
  <c r="I56" i="15"/>
  <c r="C198" i="12" s="1"/>
  <c r="I52" i="15"/>
  <c r="C130" i="12" s="1"/>
  <c r="I4" i="15"/>
  <c r="C237" i="12" s="1"/>
  <c r="I55" i="15"/>
  <c r="C196" i="12" s="1"/>
  <c r="I3" i="15"/>
  <c r="C199" i="12" s="1"/>
  <c r="M10" i="4"/>
  <c r="N10" i="4" s="1"/>
  <c r="M14" i="5"/>
  <c r="E10" i="4"/>
  <c r="M34" i="4"/>
  <c r="E34" i="4"/>
  <c r="M28" i="5"/>
  <c r="C239" i="12"/>
  <c r="I101" i="15"/>
  <c r="C228" i="12" s="1"/>
  <c r="I97" i="15"/>
  <c r="C178" i="12" s="1"/>
  <c r="I93" i="15"/>
  <c r="C67" i="12" s="1"/>
  <c r="I100" i="15"/>
  <c r="C227" i="12" s="1"/>
  <c r="I96" i="15"/>
  <c r="C140" i="12" s="1"/>
  <c r="I92" i="15"/>
  <c r="C66" i="12" s="1"/>
  <c r="I99" i="15"/>
  <c r="C208" i="12" s="1"/>
  <c r="I95" i="15"/>
  <c r="C99" i="12" s="1"/>
  <c r="I91" i="15"/>
  <c r="C46" i="12" s="1"/>
  <c r="I102" i="15"/>
  <c r="C229" i="12" s="1"/>
  <c r="I98" i="15"/>
  <c r="C205" i="12" s="1"/>
  <c r="I94" i="15"/>
  <c r="C68" i="12" s="1"/>
  <c r="I90" i="15"/>
  <c r="C22" i="12" s="1"/>
  <c r="N35" i="5"/>
  <c r="N65" i="5" s="1"/>
  <c r="M50" i="4"/>
  <c r="N50" i="4" s="1"/>
  <c r="E50" i="4"/>
  <c r="I217" i="15"/>
  <c r="C161" i="12" s="1"/>
  <c r="I218" i="15"/>
  <c r="C183" i="12" s="1"/>
  <c r="C242" i="12"/>
  <c r="I216" i="15"/>
  <c r="C154" i="12" s="1"/>
  <c r="I215" i="15"/>
  <c r="C101" i="12" s="1"/>
  <c r="I214" i="15"/>
  <c r="C30" i="12" s="1"/>
  <c r="C240" i="12"/>
  <c r="I150" i="15"/>
  <c r="C179" i="12" s="1"/>
  <c r="I103" i="15"/>
  <c r="C182" i="12" s="1"/>
  <c r="I152" i="15"/>
  <c r="C234" i="12" s="1"/>
  <c r="I151" i="15"/>
  <c r="C207" i="12" s="1"/>
  <c r="C241" i="12"/>
  <c r="I198" i="15"/>
  <c r="C133" i="12" s="1"/>
  <c r="I194" i="15"/>
  <c r="C26" i="12" s="1"/>
  <c r="I197" i="15"/>
  <c r="C109" i="12" s="1"/>
  <c r="I196" i="15"/>
  <c r="C92" i="12" s="1"/>
  <c r="I195" i="15"/>
  <c r="C86" i="12" s="1"/>
  <c r="I199" i="15"/>
  <c r="C142" i="12" s="1"/>
  <c r="F47" i="4"/>
  <c r="O47" i="4"/>
  <c r="L47" i="4" s="1"/>
  <c r="D47" i="4"/>
  <c r="I36" i="11" l="1"/>
  <c r="J36" i="11" s="1"/>
  <c r="K36" i="11"/>
  <c r="L36" i="11" s="1"/>
  <c r="O7" i="12"/>
  <c r="P7" i="12" s="1"/>
  <c r="D10" i="12"/>
  <c r="I10" i="12" s="1"/>
  <c r="M63" i="4"/>
  <c r="N63" i="4" s="1"/>
  <c r="N34" i="4"/>
  <c r="N41" i="5"/>
  <c r="N66" i="5" s="1"/>
  <c r="O28" i="5"/>
  <c r="N40" i="4"/>
  <c r="E40" i="4"/>
  <c r="P35" i="5"/>
  <c r="P65" i="5" s="1"/>
  <c r="M56" i="4"/>
  <c r="N56" i="4" s="1"/>
  <c r="M37" i="4"/>
  <c r="N37" i="4" s="1"/>
  <c r="N28" i="5"/>
  <c r="L3" i="12"/>
  <c r="M3" i="12" s="1"/>
  <c r="O3" i="12"/>
  <c r="P3" i="12" s="1"/>
  <c r="L4" i="12"/>
  <c r="M4" i="12" s="1"/>
  <c r="O4" i="12"/>
  <c r="P4" i="12" s="1"/>
  <c r="L5" i="12"/>
  <c r="M5" i="12" s="1"/>
  <c r="O5" i="12"/>
  <c r="P5" i="12" s="1"/>
  <c r="H14" i="5"/>
  <c r="D4" i="12" s="1"/>
  <c r="H15" i="5"/>
  <c r="D5" i="12" s="1"/>
  <c r="L6" i="12"/>
  <c r="M6" i="12" s="1"/>
  <c r="O6" i="12"/>
  <c r="P6" i="12" s="1"/>
  <c r="O24" i="5"/>
  <c r="P43" i="5"/>
  <c r="A34" i="11"/>
  <c r="K34" i="11" s="1"/>
  <c r="M24" i="5"/>
  <c r="D22" i="4" s="1"/>
  <c r="H16" i="5"/>
  <c r="D6" i="12" s="1"/>
  <c r="D11" i="12"/>
  <c r="H28" i="5"/>
  <c r="H17" i="5"/>
  <c r="D7" i="12" s="1"/>
  <c r="H13" i="5"/>
  <c r="D3" i="12" s="1"/>
  <c r="I35" i="11"/>
  <c r="J35" i="11" s="1"/>
  <c r="L35" i="11"/>
  <c r="D12" i="12"/>
  <c r="H29" i="5"/>
  <c r="E47" i="4"/>
  <c r="M47" i="4"/>
  <c r="N47" i="4" s="1"/>
  <c r="M35" i="5"/>
  <c r="M65" i="5" s="1"/>
  <c r="E10" i="12"/>
  <c r="F10" i="12" s="1"/>
  <c r="I8" i="12"/>
  <c r="E8" i="12"/>
  <c r="F8" i="12" s="1"/>
  <c r="I7" i="12" l="1"/>
  <c r="E7" i="12"/>
  <c r="F7" i="12" s="1"/>
  <c r="O70" i="4"/>
  <c r="L70" i="4" s="1"/>
  <c r="D70" i="4"/>
  <c r="E3" i="12"/>
  <c r="F3" i="12" s="1"/>
  <c r="I3" i="12"/>
  <c r="E6" i="12"/>
  <c r="F6" i="12" s="1"/>
  <c r="I6" i="12"/>
  <c r="O27" i="4"/>
  <c r="L27" i="4" s="1"/>
  <c r="D27" i="4"/>
  <c r="F27" i="4"/>
  <c r="E5" i="12"/>
  <c r="F5" i="12" s="1"/>
  <c r="I5" i="12"/>
  <c r="I12" i="12"/>
  <c r="E12" i="12"/>
  <c r="F12" i="12" s="1"/>
  <c r="I11" i="12"/>
  <c r="E11" i="12"/>
  <c r="F11" i="12" s="1"/>
  <c r="O22" i="4"/>
  <c r="L22" i="4" s="1"/>
  <c r="F22" i="4"/>
  <c r="I4" i="12"/>
  <c r="E4" i="12"/>
  <c r="F4" i="12" s="1"/>
  <c r="I34" i="11"/>
  <c r="J34" i="11" s="1"/>
  <c r="J38" i="11" s="1"/>
  <c r="J39" i="11" s="1"/>
  <c r="S37" i="5" s="1"/>
  <c r="L34" i="11"/>
  <c r="L38" i="11" s="1"/>
  <c r="L39" i="11" s="1"/>
  <c r="S43" i="5" s="1"/>
  <c r="G10" i="12" l="1"/>
  <c r="I14" i="12"/>
  <c r="P30" i="5" s="1"/>
  <c r="O43" i="4" s="1"/>
  <c r="L43" i="4" s="1"/>
  <c r="G3" i="12"/>
  <c r="H8" i="12" s="1"/>
  <c r="O22" i="5"/>
  <c r="M27" i="4"/>
  <c r="N27" i="4" s="1"/>
  <c r="E27" i="4"/>
  <c r="M22" i="5"/>
  <c r="E22" i="4"/>
  <c r="M22" i="4"/>
  <c r="N22" i="4" s="1"/>
  <c r="O37" i="5"/>
  <c r="O43" i="5"/>
  <c r="E70" i="4"/>
  <c r="M70" i="4"/>
  <c r="N70" i="4" s="1"/>
  <c r="P41" i="5"/>
  <c r="P66" i="5" s="1"/>
  <c r="I50" i="5"/>
  <c r="J50" i="5" s="1"/>
  <c r="K50" i="5" s="1"/>
  <c r="H3" i="12" l="1"/>
  <c r="N3" i="12" s="1"/>
  <c r="H5" i="12"/>
  <c r="N5" i="12" s="1"/>
  <c r="I51" i="5"/>
  <c r="J51" i="5" s="1"/>
  <c r="K51" i="5" s="1"/>
  <c r="K64" i="5" s="1"/>
  <c r="H4" i="12"/>
  <c r="N4" i="12" s="1"/>
  <c r="I49" i="5"/>
  <c r="J49" i="5" s="1"/>
  <c r="K49" i="5" s="1"/>
  <c r="K10" i="5" s="1"/>
  <c r="H7" i="12"/>
  <c r="N7" i="12" s="1"/>
  <c r="H6" i="12"/>
  <c r="Q6" i="12" s="1"/>
  <c r="D43" i="4"/>
  <c r="F43" i="4"/>
  <c r="O67" i="4"/>
  <c r="L67" i="4" s="1"/>
  <c r="D67" i="4"/>
  <c r="D53" i="4"/>
  <c r="L60" i="4"/>
  <c r="N60" i="4" s="1"/>
  <c r="F53" i="4"/>
  <c r="O53" i="4"/>
  <c r="L53" i="4" s="1"/>
  <c r="K63" i="5"/>
  <c r="K19" i="5"/>
  <c r="Q5" i="12" l="1"/>
  <c r="Q3" i="12"/>
  <c r="Q8" i="12" s="1"/>
  <c r="Q4" i="12"/>
  <c r="K62" i="5"/>
  <c r="M62" i="5" s="1"/>
  <c r="K25" i="5"/>
  <c r="H10" i="12"/>
  <c r="Q7" i="12"/>
  <c r="I9" i="12"/>
  <c r="P16" i="5" s="1"/>
  <c r="D19" i="4" s="1"/>
  <c r="N6" i="12"/>
  <c r="N8" i="12"/>
  <c r="O16" i="5" s="1"/>
  <c r="P28" i="5"/>
  <c r="P64" i="5" s="1"/>
  <c r="E43" i="4"/>
  <c r="M43" i="4"/>
  <c r="N43" i="4" s="1"/>
  <c r="M53" i="4"/>
  <c r="N53" i="4" s="1"/>
  <c r="O35" i="5"/>
  <c r="O65" i="5" s="1"/>
  <c r="Q65" i="5" s="1"/>
  <c r="E53" i="4"/>
  <c r="E67" i="4"/>
  <c r="M67" i="4"/>
  <c r="N67" i="4" s="1"/>
  <c r="O41" i="5"/>
  <c r="O66" i="5" s="1"/>
  <c r="Q66" i="5" s="1"/>
  <c r="N63" i="5"/>
  <c r="P63" i="5"/>
  <c r="O63" i="5"/>
  <c r="M63" i="5"/>
  <c r="N64" i="5"/>
  <c r="O64" i="5"/>
  <c r="M64" i="5"/>
  <c r="N62" i="5" l="1"/>
  <c r="F16" i="4"/>
  <c r="D16" i="4"/>
  <c r="O14" i="5" s="1"/>
  <c r="O62" i="5" s="1"/>
  <c r="F19" i="4"/>
  <c r="O19" i="4"/>
  <c r="L19" i="4" s="1"/>
  <c r="O16" i="4"/>
  <c r="L16" i="4" s="1"/>
  <c r="Q64" i="5"/>
  <c r="Q63" i="5"/>
  <c r="N67" i="5"/>
  <c r="E19" i="4"/>
  <c r="P14" i="5"/>
  <c r="P62" i="5" s="1"/>
  <c r="M19" i="4"/>
  <c r="M67" i="5"/>
  <c r="N19" i="4" l="1"/>
  <c r="M16" i="4"/>
  <c r="N16" i="4" s="1"/>
  <c r="E16" i="4"/>
  <c r="Q62" i="5"/>
  <c r="Q67" i="5" s="1"/>
  <c r="O51" i="5" s="1"/>
  <c r="O29" i="5" s="1"/>
  <c r="J40" i="4" s="1"/>
  <c r="O67" i="5"/>
  <c r="P67" i="5"/>
  <c r="M13" i="6" l="1"/>
  <c r="E28" i="9" s="1"/>
  <c r="J41" i="4"/>
  <c r="P53" i="5"/>
  <c r="P42" i="5" s="1"/>
  <c r="J70" i="4" s="1"/>
  <c r="J71" i="4" s="1"/>
  <c r="P49" i="5"/>
  <c r="P15" i="5" s="1"/>
  <c r="N49" i="5"/>
  <c r="N15" i="5" s="1"/>
  <c r="O52" i="5"/>
  <c r="O36" i="5" s="1"/>
  <c r="J53" i="4" s="1"/>
  <c r="J54" i="4" s="1"/>
  <c r="P52" i="5"/>
  <c r="P36" i="5" s="1"/>
  <c r="J56" i="4" s="1"/>
  <c r="M51" i="5"/>
  <c r="M29" i="5" s="1"/>
  <c r="P51" i="5"/>
  <c r="P29" i="5" s="1"/>
  <c r="J43" i="4" s="1"/>
  <c r="N50" i="5"/>
  <c r="N23" i="5" s="1"/>
  <c r="J24" i="4" s="1"/>
  <c r="I11" i="6" s="1"/>
  <c r="E23" i="9" s="1"/>
  <c r="M52" i="5"/>
  <c r="M36" i="5" s="1"/>
  <c r="N52" i="5"/>
  <c r="N36" i="5" s="1"/>
  <c r="J50" i="4" s="1"/>
  <c r="O49" i="5"/>
  <c r="O15" i="5" s="1"/>
  <c r="I41" i="4"/>
  <c r="M53" i="5"/>
  <c r="M42" i="5" s="1"/>
  <c r="O50" i="5"/>
  <c r="O23" i="5" s="1"/>
  <c r="J27" i="4" s="1"/>
  <c r="I42" i="4"/>
  <c r="J42" i="4"/>
  <c r="M50" i="5"/>
  <c r="M23" i="5" s="1"/>
  <c r="P50" i="5"/>
  <c r="P23" i="5" s="1"/>
  <c r="J30" i="4" s="1"/>
  <c r="J31" i="4" s="1"/>
  <c r="I31" i="4" s="1"/>
  <c r="O53" i="5"/>
  <c r="O42" i="5" s="1"/>
  <c r="J67" i="4" s="1"/>
  <c r="N53" i="5"/>
  <c r="N42" i="5" s="1"/>
  <c r="J63" i="4" s="1"/>
  <c r="J64" i="4" s="1"/>
  <c r="N51" i="5"/>
  <c r="N29" i="5" s="1"/>
  <c r="J37" i="4" s="1"/>
  <c r="M49" i="5"/>
  <c r="M15" i="5" s="1"/>
  <c r="J68" i="4" l="1"/>
  <c r="I68" i="4" s="1"/>
  <c r="J58" i="4"/>
  <c r="J57" i="4"/>
  <c r="I57" i="4" s="1"/>
  <c r="J52" i="4"/>
  <c r="J51" i="4"/>
  <c r="I51" i="4" s="1"/>
  <c r="Q17" i="6"/>
  <c r="E37" i="9" s="1"/>
  <c r="I58" i="4"/>
  <c r="Q15" i="6"/>
  <c r="E33" i="9" s="1"/>
  <c r="I71" i="4"/>
  <c r="I72" i="4"/>
  <c r="J72" i="4"/>
  <c r="J45" i="4"/>
  <c r="J44" i="4"/>
  <c r="I44" i="4" s="1"/>
  <c r="J38" i="4"/>
  <c r="I38" i="4" s="1"/>
  <c r="M11" i="6"/>
  <c r="E24" i="9" s="1"/>
  <c r="J28" i="4"/>
  <c r="I28" i="4" s="1"/>
  <c r="I15" i="6"/>
  <c r="E31" i="9" s="1"/>
  <c r="I45" i="4"/>
  <c r="Q13" i="6"/>
  <c r="E29" i="9" s="1"/>
  <c r="I55" i="4"/>
  <c r="I54" i="4"/>
  <c r="M15" i="6"/>
  <c r="E32" i="9" s="1"/>
  <c r="J55" i="4"/>
  <c r="J26" i="4"/>
  <c r="I52" i="4"/>
  <c r="Q52" i="5"/>
  <c r="I32" i="4"/>
  <c r="H30" i="4" s="1"/>
  <c r="I30" i="4" s="1"/>
  <c r="O11" i="6" s="1"/>
  <c r="C25" i="9" s="1"/>
  <c r="J25" i="4"/>
  <c r="I25" i="4" s="1"/>
  <c r="I26" i="4"/>
  <c r="J32" i="4"/>
  <c r="I66" i="4"/>
  <c r="I69" i="4"/>
  <c r="I65" i="4"/>
  <c r="I17" i="6"/>
  <c r="E35" i="9" s="1"/>
  <c r="J29" i="4"/>
  <c r="J66" i="4"/>
  <c r="I29" i="4"/>
  <c r="H40" i="4"/>
  <c r="N13" i="6" s="1"/>
  <c r="J65" i="4"/>
  <c r="I64" i="4"/>
  <c r="I39" i="4"/>
  <c r="I13" i="6"/>
  <c r="E27" i="9" s="1"/>
  <c r="N54" i="5"/>
  <c r="Q51" i="5"/>
  <c r="J39" i="4"/>
  <c r="M54" i="5"/>
  <c r="Q49" i="5"/>
  <c r="J69" i="4"/>
  <c r="Q11" i="6"/>
  <c r="E25" i="9" s="1"/>
  <c r="Q50" i="5"/>
  <c r="P54" i="5"/>
  <c r="M17" i="6"/>
  <c r="E36" i="9" s="1"/>
  <c r="Q53" i="5"/>
  <c r="O54" i="5"/>
  <c r="L19" i="5"/>
  <c r="J22" i="4"/>
  <c r="J23" i="4" s="1"/>
  <c r="P9" i="5"/>
  <c r="J19" i="4"/>
  <c r="J20" i="4" s="1"/>
  <c r="J10" i="4"/>
  <c r="M9" i="5"/>
  <c r="L10" i="5"/>
  <c r="O9" i="5"/>
  <c r="J16" i="4"/>
  <c r="L25" i="5"/>
  <c r="J34" i="4"/>
  <c r="J35" i="4" s="1"/>
  <c r="L32" i="5"/>
  <c r="J47" i="4"/>
  <c r="J48" i="4" s="1"/>
  <c r="J13" i="4"/>
  <c r="J14" i="4" s="1"/>
  <c r="N9" i="5"/>
  <c r="L38" i="5"/>
  <c r="J60" i="4"/>
  <c r="J61" i="4" s="1"/>
  <c r="H56" i="4" l="1"/>
  <c r="I56" i="4" s="1"/>
  <c r="O15" i="6" s="1"/>
  <c r="C33" i="9" s="1"/>
  <c r="F33" i="9" s="1"/>
  <c r="G33" i="9" s="1"/>
  <c r="H70" i="4"/>
  <c r="R17" i="6" s="1"/>
  <c r="H50" i="4"/>
  <c r="J15" i="6" s="1"/>
  <c r="H24" i="4"/>
  <c r="J11" i="6" s="1"/>
  <c r="H43" i="4"/>
  <c r="I43" i="4" s="1"/>
  <c r="O13" i="6" s="1"/>
  <c r="C29" i="9" s="1"/>
  <c r="F29" i="9" s="1"/>
  <c r="G29" i="9" s="1"/>
  <c r="H53" i="4"/>
  <c r="N15" i="6" s="1"/>
  <c r="H67" i="4"/>
  <c r="I67" i="4" s="1"/>
  <c r="K17" i="6" s="1"/>
  <c r="C36" i="9" s="1"/>
  <c r="F36" i="9" s="1"/>
  <c r="G36" i="9" s="1"/>
  <c r="H63" i="4"/>
  <c r="J17" i="6" s="1"/>
  <c r="I40" i="4"/>
  <c r="K13" i="6" s="1"/>
  <c r="C28" i="9" s="1"/>
  <c r="F28" i="9" s="1"/>
  <c r="G28" i="9" s="1"/>
  <c r="H27" i="4"/>
  <c r="N11" i="6" s="1"/>
  <c r="F25" i="9"/>
  <c r="G25" i="9" s="1"/>
  <c r="H37" i="4"/>
  <c r="J13" i="6" s="1"/>
  <c r="R11" i="6"/>
  <c r="Q54" i="5"/>
  <c r="J21" i="4"/>
  <c r="E19" i="8" s="1"/>
  <c r="I23" i="4"/>
  <c r="E11" i="6"/>
  <c r="E22" i="9" s="1"/>
  <c r="E15" i="6"/>
  <c r="E30" i="9" s="1"/>
  <c r="J46" i="4"/>
  <c r="E21" i="8" s="1"/>
  <c r="J49" i="4"/>
  <c r="I49" i="4"/>
  <c r="I48" i="4"/>
  <c r="M9" i="6"/>
  <c r="J18" i="4"/>
  <c r="J17" i="4"/>
  <c r="I17" i="4" s="1"/>
  <c r="I18" i="4"/>
  <c r="I12" i="4"/>
  <c r="J11" i="4"/>
  <c r="I11" i="4" s="1"/>
  <c r="J9" i="4"/>
  <c r="E9" i="6"/>
  <c r="J12" i="4"/>
  <c r="J62" i="4"/>
  <c r="J59" i="4"/>
  <c r="E22" i="8" s="1"/>
  <c r="I61" i="4"/>
  <c r="I62" i="4"/>
  <c r="E17" i="6"/>
  <c r="E34" i="9" s="1"/>
  <c r="Q9" i="6"/>
  <c r="I20" i="4"/>
  <c r="J15" i="4"/>
  <c r="I15" i="4"/>
  <c r="I9" i="6"/>
  <c r="I14" i="4"/>
  <c r="I36" i="4"/>
  <c r="I35" i="4"/>
  <c r="J33" i="4"/>
  <c r="E20" i="8" s="1"/>
  <c r="J36" i="4"/>
  <c r="E13" i="6"/>
  <c r="E26" i="9" s="1"/>
  <c r="I70" i="4" l="1"/>
  <c r="O17" i="6" s="1"/>
  <c r="C37" i="9" s="1"/>
  <c r="F37" i="9" s="1"/>
  <c r="G37" i="9" s="1"/>
  <c r="R15" i="6"/>
  <c r="I53" i="4"/>
  <c r="K15" i="6" s="1"/>
  <c r="C32" i="9" s="1"/>
  <c r="F32" i="9" s="1"/>
  <c r="G32" i="9" s="1"/>
  <c r="I50" i="4"/>
  <c r="G15" i="6" s="1"/>
  <c r="C31" i="9" s="1"/>
  <c r="F31" i="9" s="1"/>
  <c r="G31" i="9" s="1"/>
  <c r="I24" i="4"/>
  <c r="G11" i="6" s="1"/>
  <c r="C23" i="9" s="1"/>
  <c r="F23" i="9" s="1"/>
  <c r="G23" i="9" s="1"/>
  <c r="R13" i="6"/>
  <c r="N17" i="6"/>
  <c r="I63" i="4"/>
  <c r="G17" i="6" s="1"/>
  <c r="C35" i="9" s="1"/>
  <c r="F35" i="9" s="1"/>
  <c r="G35" i="9" s="1"/>
  <c r="I37" i="4"/>
  <c r="G13" i="6" s="1"/>
  <c r="C27" i="9" s="1"/>
  <c r="F27" i="9" s="1"/>
  <c r="G27" i="9" s="1"/>
  <c r="H10" i="4"/>
  <c r="F9" i="6" s="1"/>
  <c r="I27" i="4"/>
  <c r="K11" i="6" s="1"/>
  <c r="C24" i="9" s="1"/>
  <c r="F24" i="9" s="1"/>
  <c r="G24" i="9" s="1"/>
  <c r="H19" i="4"/>
  <c r="R9" i="6" s="1"/>
  <c r="H16" i="4"/>
  <c r="N9" i="6" s="1"/>
  <c r="H47" i="4"/>
  <c r="F15" i="6" s="1"/>
  <c r="H22" i="4"/>
  <c r="F11" i="6" s="1"/>
  <c r="H34" i="4"/>
  <c r="F13" i="6" s="1"/>
  <c r="H13" i="4"/>
  <c r="J9" i="6" s="1"/>
  <c r="H60" i="4"/>
  <c r="I60" i="4" s="1"/>
  <c r="E20" i="7"/>
  <c r="E20" i="9"/>
  <c r="E18" i="9"/>
  <c r="E18" i="7"/>
  <c r="E19" i="9"/>
  <c r="E19" i="7"/>
  <c r="E21" i="7"/>
  <c r="E21" i="9"/>
  <c r="E18" i="8"/>
  <c r="J4" i="4"/>
  <c r="M4" i="6" s="1"/>
  <c r="I22" i="4" l="1"/>
  <c r="C11" i="6" s="1"/>
  <c r="C22" i="9" s="1"/>
  <c r="F22" i="9" s="1"/>
  <c r="G22" i="9" s="1"/>
  <c r="I19" i="4"/>
  <c r="O9" i="6" s="1"/>
  <c r="C21" i="9" s="1"/>
  <c r="F21" i="9" s="1"/>
  <c r="G21" i="9" s="1"/>
  <c r="I10" i="4"/>
  <c r="I13" i="4"/>
  <c r="G9" i="6" s="1"/>
  <c r="C19" i="9" s="1"/>
  <c r="F19" i="9" s="1"/>
  <c r="G19" i="9" s="1"/>
  <c r="I47" i="4"/>
  <c r="C15" i="6" s="1"/>
  <c r="C30" i="9" s="1"/>
  <c r="F30" i="9" s="1"/>
  <c r="G30" i="9" s="1"/>
  <c r="I16" i="4"/>
  <c r="K9" i="6" s="1"/>
  <c r="C20" i="9" s="1"/>
  <c r="F20" i="9" s="1"/>
  <c r="G20" i="9" s="1"/>
  <c r="I34" i="4"/>
  <c r="C13" i="6" s="1"/>
  <c r="C26" i="9" s="1"/>
  <c r="F26" i="9" s="1"/>
  <c r="G26" i="9" s="1"/>
  <c r="F17" i="6"/>
  <c r="J74" i="4"/>
  <c r="E38" i="9"/>
  <c r="E23" i="8"/>
  <c r="E22" i="7"/>
  <c r="C21" i="7"/>
  <c r="F21" i="7" s="1"/>
  <c r="G21" i="7" s="1"/>
  <c r="C17" i="6"/>
  <c r="C34" i="9" s="1"/>
  <c r="F34" i="9" s="1"/>
  <c r="G34" i="9" s="1"/>
  <c r="I59" i="4"/>
  <c r="I21" i="4" l="1"/>
  <c r="C9" i="6"/>
  <c r="C18" i="9" s="1"/>
  <c r="F18" i="9" s="1"/>
  <c r="G18" i="9" s="1"/>
  <c r="I9" i="4"/>
  <c r="I46" i="4"/>
  <c r="H46" i="4" s="1"/>
  <c r="C19" i="7"/>
  <c r="F19" i="7" s="1"/>
  <c r="G19" i="7" s="1"/>
  <c r="C20" i="7"/>
  <c r="F20" i="7" s="1"/>
  <c r="G20" i="7" s="1"/>
  <c r="I33" i="4"/>
  <c r="C20" i="8" s="1"/>
  <c r="F20" i="8" s="1"/>
  <c r="G20" i="8" s="1"/>
  <c r="C22" i="8"/>
  <c r="F22" i="8" s="1"/>
  <c r="G22" i="8" s="1"/>
  <c r="H59" i="4"/>
  <c r="C19" i="8"/>
  <c r="F19" i="8" s="1"/>
  <c r="G19" i="8" s="1"/>
  <c r="H21" i="4"/>
  <c r="C18" i="7" l="1"/>
  <c r="F18" i="7" s="1"/>
  <c r="G18" i="7" s="1"/>
  <c r="N9" i="4"/>
  <c r="H9" i="4" s="1"/>
  <c r="I4" i="4"/>
  <c r="H4" i="4" s="1"/>
  <c r="C18" i="8"/>
  <c r="F18" i="8" s="1"/>
  <c r="G18" i="8" s="1"/>
  <c r="C21" i="8"/>
  <c r="F21" i="8" s="1"/>
  <c r="G21" i="8" s="1"/>
  <c r="H33" i="4"/>
  <c r="K4" i="6" l="1"/>
  <c r="C22" i="7"/>
  <c r="F22" i="7" s="1"/>
  <c r="C23" i="8"/>
  <c r="F23" i="8" s="1"/>
  <c r="C38" i="9"/>
  <c r="F38" i="9" s="1"/>
  <c r="H74" i="4"/>
  <c r="I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10" authorId="0" shapeId="0" xr:uid="{00000000-0006-0000-0400-000001000000}">
      <text>
        <r>
          <rPr>
            <sz val="8"/>
            <color indexed="8"/>
            <rFont val="Segoe UI"/>
            <family val="2"/>
          </rPr>
          <t xml:space="preserve">please insert the total expenditures on the supply chain. This does not include taxes, royalties and finance costs. </t>
        </r>
      </text>
    </comment>
    <comment ref="M10" authorId="0" shapeId="0" xr:uid="{00000000-0006-0000-0400-000002000000}">
      <text>
        <r>
          <rPr>
            <sz val="8"/>
            <color indexed="8"/>
            <rFont val="Arial"/>
            <family val="2"/>
          </rPr>
          <t>the weighting of topics is dependent on the social risk of the industry of the supplier (see country rating). The social risk is currently deduced from societal controversies in the respective industry. In future a more elaborate approach is aimed</t>
        </r>
      </text>
    </comment>
    <comment ref="N10" authorId="0" shapeId="0" xr:uid="{00000000-0006-0000-0400-000003000000}">
      <text>
        <r>
          <rPr>
            <sz val="8"/>
            <color indexed="8"/>
            <rFont val="Segoe UI"/>
            <family val="2"/>
          </rPr>
          <t xml:space="preserve">currently no weighting, one idea: regional minimum wages / gini-coefficient?
</t>
        </r>
      </text>
    </comment>
    <comment ref="O10" authorId="0" shapeId="0" xr:uid="{00000000-0006-0000-0400-000004000000}">
      <text>
        <r>
          <rPr>
            <sz val="8"/>
            <color indexed="8"/>
            <rFont val="Segoe UI"/>
            <family val="2"/>
          </rPr>
          <t>the weighting of topics is dependent on the environmental risk of the industry of the supplier (see country rating). The risk is currently deduced from ecological impact of the industry. Based on environmental input-output data more precise data should be available soon</t>
        </r>
      </text>
    </comment>
    <comment ref="P10" authorId="0" shapeId="0" xr:uid="{00000000-0006-0000-0400-000005000000}">
      <text>
        <r>
          <rPr>
            <sz val="8"/>
            <color indexed="8"/>
            <rFont val="Segoe UI"/>
            <family val="2"/>
          </rPr>
          <t>The weighting of topics is dependent on the labour participation rights in the countries of origin of the most important purchased goods and services and is based on the ILUC-Index of the International Labour Union (ILO)</t>
        </r>
      </text>
    </comment>
    <comment ref="F12" authorId="0" shapeId="0" xr:uid="{00000000-0006-0000-0400-000006000000}">
      <text>
        <r>
          <rPr>
            <sz val="8"/>
            <color indexed="8"/>
            <rFont val="Segoe UI"/>
            <family val="2"/>
          </rPr>
          <t xml:space="preserve">Please in the five most important industries your companies purchased goods or services from. </t>
        </r>
      </text>
    </comment>
    <comment ref="G12" authorId="0" shapeId="0" xr:uid="{00000000-0006-0000-0400-000007000000}">
      <text>
        <r>
          <rPr>
            <sz val="8"/>
            <color indexed="8"/>
            <rFont val="Cambria"/>
            <family val="1"/>
          </rPr>
          <t xml:space="preserve">Please describe in the five most importantgoods or services your company purchased 
</t>
        </r>
      </text>
    </comment>
    <comment ref="H12" authorId="0" shapeId="0" xr:uid="{00000000-0006-0000-0400-000008000000}">
      <text>
        <r>
          <rPr>
            <sz val="8"/>
            <color indexed="8"/>
            <rFont val="Segoe UI"/>
            <family val="2"/>
          </rPr>
          <t>Please select the region where the five most important  purchased goods or services are produced. Select, as far as possible, the region where the most important step happens (e.g. extraction, production )</t>
        </r>
      </text>
    </comment>
    <comment ref="I12" authorId="0" shapeId="0" xr:uid="{00000000-0006-0000-0400-000009000000}">
      <text>
        <r>
          <rPr>
            <sz val="8"/>
            <color indexed="8"/>
            <rFont val="Segoe UI"/>
            <family val="2"/>
          </rPr>
          <t xml:space="preserve">Please insert the amounts spent for the five most important industries your companies purchased goods or services from. </t>
        </r>
      </text>
    </comment>
    <comment ref="F19" authorId="0" shapeId="0" xr:uid="{00000000-0006-0000-0400-00000A000000}">
      <text>
        <r>
          <rPr>
            <sz val="8"/>
            <color indexed="8"/>
            <rFont val="Segoe UI"/>
            <family val="2"/>
          </rPr>
          <t>please insert the profit after tax of the company</t>
        </r>
      </text>
    </comment>
    <comment ref="M19" authorId="0" shapeId="0" xr:uid="{00000000-0006-0000-0400-00000B000000}">
      <text>
        <r>
          <rPr>
            <sz val="8"/>
            <color indexed="8"/>
            <rFont val="Segoe UI"/>
            <family val="2"/>
          </rPr>
          <t>the weighting of this topics is dependent on the ratio of sales / total assets. The lower the ratio, the higher is the rating</t>
        </r>
      </text>
    </comment>
    <comment ref="N19" authorId="0" shapeId="0" xr:uid="{00000000-0006-0000-0400-00000C000000}">
      <text>
        <r>
          <rPr>
            <sz val="8"/>
            <color indexed="8"/>
            <rFont val="Segoe UI"/>
            <family val="2"/>
          </rPr>
          <t>the weighting of this topics is dependent on the amount of the ratio  (profit / turnover)</t>
        </r>
      </text>
    </comment>
    <comment ref="O19" authorId="0" shapeId="0" xr:uid="{00000000-0006-0000-0400-00000D000000}">
      <text>
        <r>
          <rPr>
            <sz val="8"/>
            <color indexed="8"/>
            <rFont val="Segoe UI"/>
            <family val="2"/>
          </rPr>
          <t>the weighting of this topics is dependent on the interest received for invested capital in relation to the turnover</t>
        </r>
      </text>
    </comment>
    <comment ref="P19" authorId="0" shapeId="0" xr:uid="{00000000-0006-0000-0400-00000E000000}">
      <text>
        <r>
          <rPr>
            <sz val="8"/>
            <color indexed="8"/>
            <rFont val="Segoe UI"/>
            <family val="2"/>
          </rPr>
          <t xml:space="preserve">the weighting of this topics is dependent on the size of the company </t>
        </r>
      </text>
    </comment>
    <comment ref="F21" authorId="0" shapeId="0" xr:uid="{00000000-0006-0000-0400-00000F000000}">
      <text>
        <r>
          <rPr>
            <sz val="8"/>
            <color indexed="8"/>
            <rFont val="Segoe UI"/>
            <family val="2"/>
          </rPr>
          <t>please insert the total amount of finance costs (expenses for interest, distributed profits to external persons, etc.).</t>
        </r>
      </text>
    </comment>
    <comment ref="G22" authorId="0" shapeId="0" xr:uid="{00000000-0006-0000-0400-000010000000}">
      <text>
        <r>
          <rPr>
            <b/>
            <sz val="8"/>
            <color indexed="8"/>
            <rFont val="Segoe UI"/>
            <family val="2"/>
          </rPr>
          <t xml:space="preserve">T410:
</t>
        </r>
        <r>
          <rPr>
            <sz val="8"/>
            <color indexed="8"/>
            <rFont val="Segoe UI"/>
            <family val="2"/>
          </rPr>
          <t>please insert the total finance income (e.g. interests received)</t>
        </r>
      </text>
    </comment>
    <comment ref="G23" authorId="0" shapeId="0" xr:uid="{00000000-0006-0000-0400-000011000000}">
      <text>
        <r>
          <rPr>
            <sz val="8"/>
            <color indexed="8"/>
            <rFont val="Segoe UI"/>
            <family val="2"/>
          </rPr>
          <t>please insert the total assets of the balance sheet</t>
        </r>
      </text>
    </comment>
    <comment ref="F24" authorId="0" shapeId="0" xr:uid="{00000000-0006-0000-0400-000012000000}">
      <text>
        <r>
          <rPr>
            <sz val="8"/>
            <color indexed="8"/>
            <rFont val="Segoe UI"/>
            <family val="2"/>
          </rPr>
          <t xml:space="preserve">
please insert the sum of financial instrument, (e.g. bonds, pensions funds) and deposit at banks or a rough estimate</t>
        </r>
      </text>
    </comment>
    <comment ref="H24" authorId="0" shapeId="0" xr:uid="{00000000-0006-0000-0400-000013000000}">
      <text>
        <r>
          <rPr>
            <sz val="8"/>
            <color indexed="8"/>
            <rFont val="Segoe UI"/>
            <family val="2"/>
          </rPr>
          <t xml:space="preserve">
please insert the sum of financial instrument, (e.g. bonds, pensions funds) and deposit at banks or a rough estimate</t>
        </r>
      </text>
    </comment>
    <comment ref="F25" authorId="0" shapeId="0" xr:uid="{00000000-0006-0000-0400-000014000000}">
      <text>
        <r>
          <rPr>
            <sz val="8"/>
            <color indexed="8"/>
            <rFont val="Segoe UI"/>
            <family val="2"/>
          </rPr>
          <t>please insert the total expenditures on employees (wages and salaries without social expenditures)</t>
        </r>
      </text>
    </comment>
    <comment ref="O25" authorId="0" shapeId="0" xr:uid="{00000000-0006-0000-0400-000015000000}">
      <text>
        <r>
          <rPr>
            <sz val="8"/>
            <color indexed="8"/>
            <rFont val="Segoe UI"/>
            <family val="2"/>
          </rPr>
          <t>the weighting of topic is dependent on the existence of a cantine for the majority of the employees and employee commuting (distance from the work place).  Studies of certain comanies have indicated, that can have rather high impacts in case of a company cantine and  when employees need to travel far everyday.</t>
        </r>
      </text>
    </comment>
    <comment ref="P25" authorId="0" shapeId="0" xr:uid="{00000000-0006-0000-0400-000016000000}">
      <text>
        <r>
          <rPr>
            <sz val="8"/>
            <color indexed="8"/>
            <rFont val="Segoe UI"/>
            <family val="2"/>
          </rPr>
          <t xml:space="preserve">the weighting of this topics is dependent on the size of the company </t>
        </r>
      </text>
    </comment>
    <comment ref="F26" authorId="0" shapeId="0" xr:uid="{00000000-0006-0000-0400-000017000000}">
      <text>
        <r>
          <rPr>
            <sz val="8"/>
            <color indexed="8"/>
            <rFont val="Segoe UI"/>
            <family val="2"/>
          </rPr>
          <t>please insert the total number of employees by full-time-equivalents</t>
        </r>
      </text>
    </comment>
    <comment ref="G27" authorId="0" shapeId="0" xr:uid="{00000000-0006-0000-0400-000018000000}">
      <text>
        <r>
          <rPr>
            <sz val="8"/>
            <color indexed="8"/>
            <rFont val="Segoe UI"/>
            <family val="2"/>
          </rPr>
          <t>please name the country with the most employees and their precentage of all employees</t>
        </r>
      </text>
    </comment>
    <comment ref="G28" authorId="0" shapeId="0" xr:uid="{00000000-0006-0000-0400-000019000000}">
      <text>
        <r>
          <rPr>
            <sz val="8"/>
            <color indexed="8"/>
            <rFont val="Segoe UI"/>
            <family val="2"/>
          </rPr>
          <t>please name the country with the 2nd most employees and their precentage of all employees</t>
        </r>
      </text>
    </comment>
    <comment ref="G29" authorId="0" shapeId="0" xr:uid="{00000000-0006-0000-0400-00001A000000}">
      <text>
        <r>
          <rPr>
            <sz val="8"/>
            <color indexed="8"/>
            <rFont val="Segoe UI"/>
            <family val="2"/>
          </rPr>
          <t>please name the country with the 3rd most employees and their precentage of all employees</t>
        </r>
      </text>
    </comment>
    <comment ref="F30" authorId="0" shapeId="0" xr:uid="{00000000-0006-0000-0400-00001B000000}">
      <text>
        <r>
          <rPr>
            <sz val="8"/>
            <color indexed="8"/>
            <rFont val="Segoe UI"/>
            <family val="2"/>
          </rPr>
          <t>please insert the (estimated) average distance of the employees from the company in km</t>
        </r>
      </text>
    </comment>
    <comment ref="F31" authorId="0" shapeId="0" xr:uid="{00000000-0006-0000-0400-00001C000000}">
      <text>
        <r>
          <rPr>
            <sz val="8"/>
            <color indexed="8"/>
            <rFont val="Segoe UI"/>
            <family val="2"/>
          </rPr>
          <t>Does a company cantine exist, which more than 50% of the employee use?</t>
        </r>
      </text>
    </comment>
    <comment ref="F32" authorId="0" shapeId="0" xr:uid="{00000000-0006-0000-0400-00001D000000}">
      <text>
        <r>
          <rPr>
            <sz val="8"/>
            <color indexed="8"/>
            <rFont val="Segoe UI"/>
            <family val="2"/>
          </rPr>
          <t>please insert the total sales (source:  income statement)</t>
        </r>
      </text>
    </comment>
    <comment ref="O32" authorId="0" shapeId="0" xr:uid="{00000000-0006-0000-0400-00001E000000}">
      <text>
        <r>
          <rPr>
            <sz val="8"/>
            <color indexed="8"/>
            <rFont val="Segoe UI"/>
            <family val="2"/>
          </rPr>
          <t>the weighting of topic is dependent on the envrionmental risk of the industry. The risk is currently deduced from interviews with experts and media research. Based on environmental input-output data more precise data should be available soon</t>
        </r>
      </text>
    </comment>
    <comment ref="P32" authorId="0" shapeId="0" xr:uid="{00000000-0006-0000-0400-00001F000000}">
      <text>
        <r>
          <rPr>
            <b/>
            <sz val="8"/>
            <color indexed="8"/>
            <rFont val="Segoe UI"/>
            <family val="2"/>
          </rPr>
          <t>The Weighting is low if the company has almost entirely B2B-business</t>
        </r>
      </text>
    </comment>
    <comment ref="F34" authorId="0" shapeId="0" xr:uid="{00000000-0006-0000-0400-000020000000}">
      <text>
        <r>
          <rPr>
            <sz val="8"/>
            <color indexed="8"/>
            <rFont val="Segoe UI"/>
            <family val="2"/>
          </rPr>
          <t>Please in the three most important industries your companies purchased goods or services from.  If you provide only one product, you can distinguish into customers segments, in case you provide many different products and services try to group them as far as possible</t>
        </r>
      </text>
    </comment>
    <comment ref="G34" authorId="0" shapeId="0" xr:uid="{00000000-0006-0000-0400-000021000000}">
      <text>
        <r>
          <rPr>
            <sz val="8"/>
            <color indexed="8"/>
            <rFont val="Segoe UI"/>
            <family val="2"/>
          </rPr>
          <t>please insert a short description of the service and product</t>
        </r>
      </text>
    </comment>
    <comment ref="N38" authorId="0" shapeId="0" xr:uid="{00000000-0006-0000-0400-000022000000}">
      <text>
        <r>
          <rPr>
            <sz val="8"/>
            <color indexed="8"/>
            <rFont val="Segoe UI"/>
            <family val="2"/>
          </rPr>
          <t>the weighting of this topics is dependent on the amount of the ratio  (profit / turnover)</t>
        </r>
      </text>
    </comment>
    <comment ref="O38" authorId="0" shapeId="0" xr:uid="{00000000-0006-0000-0400-000023000000}">
      <text>
        <r>
          <rPr>
            <sz val="8"/>
            <color indexed="8"/>
            <rFont val="Segoe UI"/>
            <family val="2"/>
          </rPr>
          <t>the weighting of topic is dependent on the envrionmental risk of the industry. The risk is currently deduced from expert interview and media research. Based on environmental input-output data more precise data should be available soon</t>
        </r>
      </text>
    </comment>
    <comment ref="P38" authorId="0" shapeId="0" xr:uid="{00000000-0006-0000-0400-000024000000}">
      <text>
        <r>
          <rPr>
            <sz val="8"/>
            <color indexed="8"/>
            <rFont val="Segoe UI"/>
            <family val="2"/>
          </rPr>
          <t xml:space="preserve"> the weighting of this topics is dependent on the size of the company and for some industries with high impact an adjacent communities the weighting is high</t>
        </r>
      </text>
    </comment>
  </commentList>
</comments>
</file>

<file path=xl/sharedStrings.xml><?xml version="1.0" encoding="utf-8"?>
<sst xmlns="http://schemas.openxmlformats.org/spreadsheetml/2006/main" count="4922" uniqueCount="3201">
  <si>
    <t>5.02</t>
  </si>
  <si>
    <t>a)</t>
  </si>
  <si>
    <t>b)</t>
  </si>
  <si>
    <t>c)</t>
  </si>
  <si>
    <t>d)</t>
  </si>
  <si>
    <t>e)</t>
  </si>
  <si>
    <t>Ja</t>
  </si>
  <si>
    <t>Nein</t>
  </si>
  <si>
    <t>P - Bildung</t>
  </si>
  <si>
    <t>ausblenden</t>
  </si>
  <si>
    <t>ausblenben</t>
  </si>
  <si>
    <t>Gewichtung Standard</t>
  </si>
  <si>
    <t>Reset</t>
  </si>
  <si>
    <t>A</t>
  </si>
  <si>
    <t>A1</t>
  </si>
  <si>
    <t>A1.1</t>
  </si>
  <si>
    <t>A1.2</t>
  </si>
  <si>
    <t>A2</t>
  </si>
  <si>
    <t>A2.1</t>
  </si>
  <si>
    <t>A2.2</t>
  </si>
  <si>
    <t>A2.3</t>
  </si>
  <si>
    <t>A3</t>
  </si>
  <si>
    <t>A3.1</t>
  </si>
  <si>
    <t>A3.2</t>
  </si>
  <si>
    <t>A4</t>
  </si>
  <si>
    <t>A4.1</t>
  </si>
  <si>
    <t>A4.2</t>
  </si>
  <si>
    <t>B</t>
  </si>
  <si>
    <t>B1</t>
  </si>
  <si>
    <t>B1.1</t>
  </si>
  <si>
    <t>B1.2</t>
  </si>
  <si>
    <t>B1.3</t>
  </si>
  <si>
    <t>B2</t>
  </si>
  <si>
    <t>B2.1</t>
  </si>
  <si>
    <t>B2.2</t>
  </si>
  <si>
    <t>B3</t>
  </si>
  <si>
    <t>B3.1</t>
  </si>
  <si>
    <t>B3.2</t>
  </si>
  <si>
    <t>B3.3</t>
  </si>
  <si>
    <t>B4</t>
  </si>
  <si>
    <t>B4.1</t>
  </si>
  <si>
    <t>B4.2</t>
  </si>
  <si>
    <t>C</t>
  </si>
  <si>
    <t>C1</t>
  </si>
  <si>
    <t>C1.1</t>
  </si>
  <si>
    <t>C1.2</t>
  </si>
  <si>
    <t>C1.3</t>
  </si>
  <si>
    <t>C1.4</t>
  </si>
  <si>
    <t>C2</t>
  </si>
  <si>
    <t>C2.1</t>
  </si>
  <si>
    <t>C2.2</t>
  </si>
  <si>
    <t>C2.3</t>
  </si>
  <si>
    <t>C2.4</t>
  </si>
  <si>
    <t>C3</t>
  </si>
  <si>
    <t>C3.1</t>
  </si>
  <si>
    <t>C3.2</t>
  </si>
  <si>
    <t>C3.3</t>
  </si>
  <si>
    <t>C3.4</t>
  </si>
  <si>
    <t>C4</t>
  </si>
  <si>
    <t>C4.1</t>
  </si>
  <si>
    <t>C4.2</t>
  </si>
  <si>
    <t>C4.3</t>
  </si>
  <si>
    <t>C4.4</t>
  </si>
  <si>
    <t>D</t>
  </si>
  <si>
    <t>D1</t>
  </si>
  <si>
    <t>D1.1</t>
  </si>
  <si>
    <t>D1.2</t>
  </si>
  <si>
    <t>D1.3</t>
  </si>
  <si>
    <t>D2</t>
  </si>
  <si>
    <t>D2.1</t>
  </si>
  <si>
    <t>D2.2</t>
  </si>
  <si>
    <t>D2.3</t>
  </si>
  <si>
    <t>D3</t>
  </si>
  <si>
    <t>D3.1</t>
  </si>
  <si>
    <t>D3.2</t>
  </si>
  <si>
    <t>D3.3</t>
  </si>
  <si>
    <t>D4</t>
  </si>
  <si>
    <t>D4.1</t>
  </si>
  <si>
    <t>D4.2</t>
  </si>
  <si>
    <t>E</t>
  </si>
  <si>
    <t>E1</t>
  </si>
  <si>
    <t>E1.1</t>
  </si>
  <si>
    <t>E1.2</t>
  </si>
  <si>
    <t>E1.3</t>
  </si>
  <si>
    <t>E2</t>
  </si>
  <si>
    <t>E2.1</t>
  </si>
  <si>
    <t>E2.2</t>
  </si>
  <si>
    <t>E2.3</t>
  </si>
  <si>
    <t>E2.4</t>
  </si>
  <si>
    <t>E3</t>
  </si>
  <si>
    <t>E3.1</t>
  </si>
  <si>
    <t>E3.2</t>
  </si>
  <si>
    <t>E3.3</t>
  </si>
  <si>
    <t>E4</t>
  </si>
  <si>
    <t>E4.1</t>
  </si>
  <si>
    <t>E4.2</t>
  </si>
  <si>
    <t>E4.3</t>
  </si>
  <si>
    <t>MATRIX 5.0</t>
  </si>
  <si>
    <t>VALUES WERTE</t>
  </si>
  <si>
    <t xml:space="preserve">1) HUMAN DIGNITY </t>
  </si>
  <si>
    <t>2) SOLIDARITY &amp;  JUSTICE</t>
  </si>
  <si>
    <t>3) ECOLOGICAL SUSTAINABILITY</t>
  </si>
  <si>
    <t>4) DEMOCRATIC CO-DETERMINATION AND TRANSPARENCY</t>
  </si>
  <si>
    <t>Total Sales (in Mio Euro)</t>
  </si>
  <si>
    <t>Total Assets (in Mio Euro)</t>
  </si>
  <si>
    <t>fields necessary to fill out</t>
  </si>
  <si>
    <t>these field contains a comment on the necesarry information for cells to be filled out or on the weighting in general</t>
  </si>
  <si>
    <t>STAKEHOLDER                                                    BERÜHRUNGSGGRUPPE</t>
  </si>
  <si>
    <t>Gesamt-Ausgaben an Lieferanten / total expenditures on the supply chain</t>
  </si>
  <si>
    <t>A: SUPPLIERS</t>
  </si>
  <si>
    <t>NACE</t>
  </si>
  <si>
    <t>Industry</t>
  </si>
  <si>
    <t>Product / Services Description</t>
  </si>
  <si>
    <t>Region</t>
  </si>
  <si>
    <t>Expenditures</t>
  </si>
  <si>
    <t>Rest</t>
  </si>
  <si>
    <t xml:space="preserve">profit </t>
  </si>
  <si>
    <t>B: INVESTORS</t>
  </si>
  <si>
    <t xml:space="preserve">profit in % of total Sales </t>
  </si>
  <si>
    <t>profit</t>
  </si>
  <si>
    <t>EQ-Quote</t>
  </si>
  <si>
    <t>costs of finance</t>
  </si>
  <si>
    <t>&lt;-- (zugänge anlageverm.+financial assets)/total assets</t>
  </si>
  <si>
    <t>finance income</t>
  </si>
  <si>
    <t>&lt;-- ratio: sales/assets</t>
  </si>
  <si>
    <t>total assets</t>
  </si>
  <si>
    <t>"zugänge zum anlagevermögen"</t>
  </si>
  <si>
    <t>"invested money"</t>
  </si>
  <si>
    <t>employee expenditures</t>
  </si>
  <si>
    <t>C: EMPLOYEES</t>
  </si>
  <si>
    <t xml:space="preserve">number of FTE </t>
  </si>
  <si>
    <t>Does an Cantine for the majority of employees exist?</t>
  </si>
  <si>
    <t>companay szie</t>
  </si>
  <si>
    <t xml:space="preserve">% employees  in </t>
  </si>
  <si>
    <t xml:space="preserve">% employees in </t>
  </si>
  <si>
    <t>potential commuting impact</t>
  </si>
  <si>
    <t>existence of a company canteen</t>
  </si>
  <si>
    <t>total sales</t>
  </si>
  <si>
    <t>D: CUSTOMERS</t>
  </si>
  <si>
    <t>B2B / B2C</t>
  </si>
  <si>
    <t>industry</t>
  </si>
  <si>
    <t>% of total sales</t>
  </si>
  <si>
    <t>E: SOCIETY</t>
  </si>
  <si>
    <t>Company Size (EU definition)</t>
  </si>
  <si>
    <t>1) HUMAN DIGNITY</t>
  </si>
  <si>
    <t>2) COOPERATION AND SOLIDARITY</t>
  </si>
  <si>
    <t>5) DEMOCRATIC CO-DETERMINATION AND TRANSPARENCY</t>
  </si>
  <si>
    <t>Weighting Points</t>
  </si>
  <si>
    <t>trifft nicht zu</t>
  </si>
  <si>
    <t>niedrig</t>
  </si>
  <si>
    <t>mittel</t>
  </si>
  <si>
    <t>hoch</t>
  </si>
  <si>
    <t>sehr hoch</t>
  </si>
  <si>
    <t>DIFFERENCE TO MATRIX 4.0 WEIGHTING</t>
  </si>
  <si>
    <t>-</t>
  </si>
  <si>
    <t>INDUSTRY WEIGHTING - COMMON GOOD MATRIX</t>
  </si>
  <si>
    <r>
      <rPr>
        <b/>
        <sz val="8"/>
        <color indexed="9"/>
        <rFont val="Arial"/>
        <family val="2"/>
      </rPr>
      <t>INDUSTRY</t>
    </r>
    <r>
      <rPr>
        <sz val="8"/>
        <color indexed="9"/>
        <rFont val="Arial"/>
        <family val="2"/>
      </rPr>
      <t xml:space="preserve"> </t>
    </r>
  </si>
  <si>
    <t>A1 -social risks in the Supply Chain</t>
  </si>
  <si>
    <t>A3 -ecological sustainability in the Supply Chain</t>
  </si>
  <si>
    <t>D3 - Ecological Design of products and services</t>
  </si>
  <si>
    <t>E3 -  Reduction of Environmental Impact</t>
  </si>
  <si>
    <t>E4 - Social transparency and co-
determination</t>
  </si>
  <si>
    <t>A3 - Ecologicla Supply Chain Risk</t>
  </si>
  <si>
    <t>(based UN International Standard Industrial Classification of All Economic Activities, Rev.4 -http://unstats.un.org/unsd/cr/registry/regcst.asp?Cl=27)</t>
  </si>
  <si>
    <t>weighting</t>
  </si>
  <si>
    <t>argumentation: based on the social risks in the industry</t>
  </si>
  <si>
    <r>
      <rPr>
        <b/>
        <sz val="7"/>
        <color indexed="8"/>
        <rFont val="Arial"/>
        <family val="2"/>
      </rPr>
      <t xml:space="preserve">argumentation: </t>
    </r>
    <r>
      <rPr>
        <sz val="7"/>
        <color indexed="8"/>
        <rFont val="Arial"/>
        <family val="2"/>
      </rPr>
      <t>based on ecological impact on the planterary boundaries in the supply cahin (studies and the use of quantitative models - e.g. ecological footprint - will be applied herefor)</t>
    </r>
  </si>
  <si>
    <r>
      <rPr>
        <b/>
        <sz val="7"/>
        <color indexed="8"/>
        <rFont val="Arial"/>
        <family val="2"/>
      </rPr>
      <t xml:space="preserve">argumentation: </t>
    </r>
    <r>
      <rPr>
        <sz val="7"/>
        <color indexed="8"/>
        <rFont val="Arial"/>
        <family val="2"/>
      </rPr>
      <t>based on the products / service impact on the planterary boundaries in the use phase (studies and the use of quantitative models - e.g. ecological footprint - will be applied herefor)</t>
    </r>
  </si>
  <si>
    <t>argumentation: based on the sectors direct impact in the production phase on the planterary boundaries (studies and the use of quantitative models will be applied herefor); e.g. sehr hoch: The sector has a major impact of various planetary boundaries</t>
  </si>
  <si>
    <r>
      <rPr>
        <b/>
        <sz val="7"/>
        <color indexed="8"/>
        <rFont val="Arial"/>
        <family val="2"/>
      </rPr>
      <t xml:space="preserve">argumentation: </t>
    </r>
    <r>
      <rPr>
        <sz val="7"/>
        <color indexed="8"/>
        <rFont val="Arial"/>
        <family val="2"/>
      </rPr>
      <t xml:space="preserve">the weighting is depending on the impact the industry has particularly on the adjacent environment
</t>
    </r>
  </si>
  <si>
    <t>argumentation: based on the sectors direct impact in the production phase on the planterary boundaries (studies and the use of quantitative models will be applied herefor)
sehr hoch: The sector has a major impact of various planetary boundaries</t>
  </si>
  <si>
    <t xml:space="preserve">A </t>
  </si>
  <si>
    <t>ist E3?</t>
  </si>
  <si>
    <t>the main impacts are in the production phase</t>
  </si>
  <si>
    <t xml:space="preserve">major direct impact on various planetary boundaries in the production (climate change, N/P-cycle, biodiversity, land-use-change) </t>
  </si>
  <si>
    <t xml:space="preserve">B </t>
  </si>
  <si>
    <t>major impact on eco-systems</t>
  </si>
  <si>
    <t xml:space="preserve">C </t>
  </si>
  <si>
    <t xml:space="preserve">Please note: This industry is very heterogen. </t>
  </si>
  <si>
    <t>Ca</t>
  </si>
  <si>
    <t>Cb</t>
  </si>
  <si>
    <t>Cc</t>
  </si>
  <si>
    <t>Cd</t>
  </si>
  <si>
    <t>Ce</t>
  </si>
  <si>
    <t>residues for some pharmaproducts critical</t>
  </si>
  <si>
    <t>Cf</t>
  </si>
  <si>
    <t>Cg</t>
  </si>
  <si>
    <t>Ch</t>
  </si>
  <si>
    <t xml:space="preserve">D </t>
  </si>
  <si>
    <t>major impact on climate change</t>
  </si>
  <si>
    <t xml:space="preserve">E </t>
  </si>
  <si>
    <t xml:space="preserve">F </t>
  </si>
  <si>
    <t>major impact on climate change (see d3) and impacting land-use-change</t>
  </si>
  <si>
    <t xml:space="preserve">G </t>
  </si>
  <si>
    <t xml:space="preserve">H </t>
  </si>
  <si>
    <t xml:space="preserve">I </t>
  </si>
  <si>
    <t xml:space="preserve">J </t>
  </si>
  <si>
    <t xml:space="preserve">K </t>
  </si>
  <si>
    <t xml:space="preserve">L </t>
  </si>
  <si>
    <t xml:space="preserve">M </t>
  </si>
  <si>
    <t xml:space="preserve">N </t>
  </si>
  <si>
    <t xml:space="preserve">O </t>
  </si>
  <si>
    <t xml:space="preserve">P </t>
  </si>
  <si>
    <t xml:space="preserve">Q </t>
  </si>
  <si>
    <t xml:space="preserve">R </t>
  </si>
  <si>
    <t xml:space="preserve">S </t>
  </si>
  <si>
    <t>T</t>
  </si>
  <si>
    <t xml:space="preserve">U </t>
  </si>
  <si>
    <t>Branche 1</t>
  </si>
  <si>
    <t>Branche 2</t>
  </si>
  <si>
    <t>Branche 3</t>
  </si>
  <si>
    <t>ÖKOLOGISCHE BRANCHENGEWICHTUNGEN</t>
  </si>
  <si>
    <t>SUPPLIERS AND EMPLOYEE WEIGHTING RATIO</t>
  </si>
  <si>
    <t>added value of suppliers (source: income statement)</t>
  </si>
  <si>
    <r>
      <rPr>
        <sz val="8"/>
        <color indexed="9"/>
        <rFont val="Arial"/>
        <family val="2"/>
      </rPr>
      <t xml:space="preserve">Splitted added value </t>
    </r>
    <r>
      <rPr>
        <sz val="8"/>
        <color indexed="60"/>
        <rFont val="Arial"/>
        <family val="2"/>
      </rPr>
      <t>(source¿?)</t>
    </r>
  </si>
  <si>
    <t>Country</t>
  </si>
  <si>
    <r>
      <rPr>
        <sz val="8"/>
        <color indexed="9"/>
        <rFont val="Arial"/>
        <family val="2"/>
      </rPr>
      <t xml:space="preserve">PPP index </t>
    </r>
    <r>
      <rPr>
        <sz val="8"/>
        <color indexed="60"/>
        <rFont val="Arial"/>
        <family val="2"/>
      </rPr>
      <t>(source¿?)</t>
    </r>
  </si>
  <si>
    <t>Added value adjusted</t>
  </si>
  <si>
    <t>Total</t>
  </si>
  <si>
    <t>%</t>
  </si>
  <si>
    <t>ITUC (average)</t>
  </si>
  <si>
    <t>nace</t>
  </si>
  <si>
    <t>ecol. Impact (A3)</t>
  </si>
  <si>
    <t>social impact (A1)</t>
  </si>
  <si>
    <t>Supplier 1</t>
  </si>
  <si>
    <t>Supplier 2</t>
  </si>
  <si>
    <t>Supplier 3</t>
  </si>
  <si>
    <t>Supplier 4</t>
  </si>
  <si>
    <t>Supplier 5</t>
  </si>
  <si>
    <t>Rest of suppliers</t>
  </si>
  <si>
    <t>Supply Chain Gewichtung</t>
  </si>
  <si>
    <t>Workers</t>
  </si>
  <si>
    <t xml:space="preserve">Please note that the boxes with a red frame have to be filled out. </t>
  </si>
  <si>
    <t>Purchasing Power Parity Tables</t>
  </si>
  <si>
    <t>Data Source</t>
  </si>
  <si>
    <t>Worldbank Data</t>
  </si>
  <si>
    <t>Last Updated Date</t>
  </si>
  <si>
    <t>2_2018</t>
  </si>
  <si>
    <t>http://data.worldbank.org/indicator/NY.GDP.MKTP.PP.CD</t>
  </si>
  <si>
    <t xml:space="preserve"> </t>
  </si>
  <si>
    <t>Country Code</t>
  </si>
  <si>
    <t>Country Name</t>
  </si>
  <si>
    <t>code</t>
  </si>
  <si>
    <t>Aruba</t>
  </si>
  <si>
    <t>est</t>
  </si>
  <si>
    <t>Americas</t>
  </si>
  <si>
    <t>ABW</t>
  </si>
  <si>
    <t>Afghanistan</t>
  </si>
  <si>
    <t>Asia</t>
  </si>
  <si>
    <t>AFG</t>
  </si>
  <si>
    <t>Angola</t>
  </si>
  <si>
    <t>Africa</t>
  </si>
  <si>
    <t>AGO</t>
  </si>
  <si>
    <t>Albania</t>
  </si>
  <si>
    <t>Europe</t>
  </si>
  <si>
    <t>ALB</t>
  </si>
  <si>
    <t>Andorra</t>
  </si>
  <si>
    <t>AND</t>
  </si>
  <si>
    <t>United Arab Emirates</t>
  </si>
  <si>
    <t>ARE</t>
  </si>
  <si>
    <t>Argentina</t>
  </si>
  <si>
    <t>ARG</t>
  </si>
  <si>
    <t>Armenia</t>
  </si>
  <si>
    <t>ARM</t>
  </si>
  <si>
    <t>American Samoa</t>
  </si>
  <si>
    <t>Oceania</t>
  </si>
  <si>
    <t>ASM</t>
  </si>
  <si>
    <t>Antigua and Barbuda</t>
  </si>
  <si>
    <t>ATG</t>
  </si>
  <si>
    <t>Australia</t>
  </si>
  <si>
    <t>AUS</t>
  </si>
  <si>
    <t>Austria</t>
  </si>
  <si>
    <t>AUT</t>
  </si>
  <si>
    <t>Azerbaijan</t>
  </si>
  <si>
    <t>AZE</t>
  </si>
  <si>
    <t>Burundi</t>
  </si>
  <si>
    <t>BDI</t>
  </si>
  <si>
    <t>Belgium</t>
  </si>
  <si>
    <t>BEL</t>
  </si>
  <si>
    <t>Benin</t>
  </si>
  <si>
    <t>BEN</t>
  </si>
  <si>
    <t>Burkina Faso</t>
  </si>
  <si>
    <t>BFA</t>
  </si>
  <si>
    <t>Bangladesh</t>
  </si>
  <si>
    <t>BGD</t>
  </si>
  <si>
    <t>Bulgaria</t>
  </si>
  <si>
    <t>BGR</t>
  </si>
  <si>
    <t>Bahrain</t>
  </si>
  <si>
    <t>BHR</t>
  </si>
  <si>
    <t>Bahamas, The</t>
  </si>
  <si>
    <t>BHS</t>
  </si>
  <si>
    <t>Bosnia and Herzegovina</t>
  </si>
  <si>
    <t>BIH</t>
  </si>
  <si>
    <t>Belarus</t>
  </si>
  <si>
    <t>BLR</t>
  </si>
  <si>
    <t>Belize</t>
  </si>
  <si>
    <t>BLZ</t>
  </si>
  <si>
    <t>Bermuda</t>
  </si>
  <si>
    <t>BMU</t>
  </si>
  <si>
    <t>Bolivia</t>
  </si>
  <si>
    <t>BOL</t>
  </si>
  <si>
    <t>Brazil</t>
  </si>
  <si>
    <t>BRA</t>
  </si>
  <si>
    <t>Barbados</t>
  </si>
  <si>
    <t>BRB</t>
  </si>
  <si>
    <t>Brunei Darussalam</t>
  </si>
  <si>
    <t>BRN</t>
  </si>
  <si>
    <t>Bhutan</t>
  </si>
  <si>
    <t>BTN</t>
  </si>
  <si>
    <t>Botswana</t>
  </si>
  <si>
    <t>BWA</t>
  </si>
  <si>
    <t>Central African Republic</t>
  </si>
  <si>
    <t>CAF</t>
  </si>
  <si>
    <t>Canada</t>
  </si>
  <si>
    <t>CAN</t>
  </si>
  <si>
    <t>Switzerland</t>
  </si>
  <si>
    <t>CHE</t>
  </si>
  <si>
    <t>Chile</t>
  </si>
  <si>
    <t>CHL</t>
  </si>
  <si>
    <t>China</t>
  </si>
  <si>
    <t>CHN</t>
  </si>
  <si>
    <t>Cote d'Ivoire</t>
  </si>
  <si>
    <t>CIV</t>
  </si>
  <si>
    <t>Cameroon</t>
  </si>
  <si>
    <t>CMR</t>
  </si>
  <si>
    <t>Congo, Dem. Rep.</t>
  </si>
  <si>
    <t>COD</t>
  </si>
  <si>
    <t>Congo, Rep.</t>
  </si>
  <si>
    <t>COG</t>
  </si>
  <si>
    <t>Colombia</t>
  </si>
  <si>
    <t>COL</t>
  </si>
  <si>
    <t>Comoros</t>
  </si>
  <si>
    <t>COM</t>
  </si>
  <si>
    <t>Cabo Verde</t>
  </si>
  <si>
    <t>CPV</t>
  </si>
  <si>
    <t>Costa Rica</t>
  </si>
  <si>
    <t>CRI</t>
  </si>
  <si>
    <t>Cuba</t>
  </si>
  <si>
    <t>CUB</t>
  </si>
  <si>
    <t>Curacao</t>
  </si>
  <si>
    <t>CUW</t>
  </si>
  <si>
    <t>Cayman Islands</t>
  </si>
  <si>
    <t>CYM</t>
  </si>
  <si>
    <t>Cyprus</t>
  </si>
  <si>
    <t>CYP</t>
  </si>
  <si>
    <t>Czech Republic</t>
  </si>
  <si>
    <t>CZE</t>
  </si>
  <si>
    <t>Germany</t>
  </si>
  <si>
    <t>DEU</t>
  </si>
  <si>
    <t>Djibouti</t>
  </si>
  <si>
    <t>DJI</t>
  </si>
  <si>
    <t>Dominica</t>
  </si>
  <si>
    <t>DMA</t>
  </si>
  <si>
    <t>Denmark</t>
  </si>
  <si>
    <t>DNK</t>
  </si>
  <si>
    <t>Dominican Republic</t>
  </si>
  <si>
    <t>DOM</t>
  </si>
  <si>
    <t>Algeria</t>
  </si>
  <si>
    <t>DZA</t>
  </si>
  <si>
    <t>Ecuador</t>
  </si>
  <si>
    <t>ECU</t>
  </si>
  <si>
    <t>Egypt, Arab Rep.</t>
  </si>
  <si>
    <t>EGY</t>
  </si>
  <si>
    <t>Eritrea</t>
  </si>
  <si>
    <t>ERI</t>
  </si>
  <si>
    <t>Spain</t>
  </si>
  <si>
    <t>ESP</t>
  </si>
  <si>
    <t>Estonia</t>
  </si>
  <si>
    <t>EST</t>
  </si>
  <si>
    <t>Ethiopia</t>
  </si>
  <si>
    <t>ETH</t>
  </si>
  <si>
    <t>Finland</t>
  </si>
  <si>
    <t>FIN</t>
  </si>
  <si>
    <t>Fiji</t>
  </si>
  <si>
    <t>FJI</t>
  </si>
  <si>
    <t>France</t>
  </si>
  <si>
    <t>FRA</t>
  </si>
  <si>
    <t>Faroe Islands</t>
  </si>
  <si>
    <t>FRO</t>
  </si>
  <si>
    <t>Micronesia, Fed. Sts.</t>
  </si>
  <si>
    <t>FSM</t>
  </si>
  <si>
    <t>Gabon</t>
  </si>
  <si>
    <t>GAB</t>
  </si>
  <si>
    <t>United Kingdom</t>
  </si>
  <si>
    <t>GBR</t>
  </si>
  <si>
    <t>Georgia</t>
  </si>
  <si>
    <t>GEO</t>
  </si>
  <si>
    <t>Ghana</t>
  </si>
  <si>
    <t>GHA</t>
  </si>
  <si>
    <t>Gibraltar</t>
  </si>
  <si>
    <t>GIB</t>
  </si>
  <si>
    <t>Guinea</t>
  </si>
  <si>
    <t>GIN</t>
  </si>
  <si>
    <t>Gambia, The</t>
  </si>
  <si>
    <t>GMB</t>
  </si>
  <si>
    <t>Guinea-Bissau</t>
  </si>
  <si>
    <t>GNB</t>
  </si>
  <si>
    <t>Equatorial Guinea</t>
  </si>
  <si>
    <t>GNQ</t>
  </si>
  <si>
    <t>Greece</t>
  </si>
  <si>
    <t>GRC</t>
  </si>
  <si>
    <t>Grenada</t>
  </si>
  <si>
    <t>GRD</t>
  </si>
  <si>
    <t>Greenland</t>
  </si>
  <si>
    <t>GRL</t>
  </si>
  <si>
    <t>Guatemala</t>
  </si>
  <si>
    <t>GTM</t>
  </si>
  <si>
    <t>Guam</t>
  </si>
  <si>
    <t>GUM</t>
  </si>
  <si>
    <t>Guyana</t>
  </si>
  <si>
    <t>GUY</t>
  </si>
  <si>
    <t>Hong Kong SAR, China</t>
  </si>
  <si>
    <t>HKG</t>
  </si>
  <si>
    <t>Honduras</t>
  </si>
  <si>
    <t>HND</t>
  </si>
  <si>
    <t>Croatia</t>
  </si>
  <si>
    <t>HRV</t>
  </si>
  <si>
    <t>Haiti</t>
  </si>
  <si>
    <t>HTI</t>
  </si>
  <si>
    <t>Hungary</t>
  </si>
  <si>
    <t>HUN</t>
  </si>
  <si>
    <t>Indonesia</t>
  </si>
  <si>
    <t>IDN</t>
  </si>
  <si>
    <t>Isle of Man</t>
  </si>
  <si>
    <t>IMN</t>
  </si>
  <si>
    <t>India</t>
  </si>
  <si>
    <t>IND</t>
  </si>
  <si>
    <t>Ireland</t>
  </si>
  <si>
    <t>IRL</t>
  </si>
  <si>
    <t>Iran, Islamic Rep.</t>
  </si>
  <si>
    <t>IRN</t>
  </si>
  <si>
    <t>Iraq</t>
  </si>
  <si>
    <t>IRQ</t>
  </si>
  <si>
    <t>Iceland</t>
  </si>
  <si>
    <t>ISL</t>
  </si>
  <si>
    <t>Israel</t>
  </si>
  <si>
    <t>ISR</t>
  </si>
  <si>
    <t>Italy</t>
  </si>
  <si>
    <t>ITA</t>
  </si>
  <si>
    <t>Jamaica</t>
  </si>
  <si>
    <t>JAM</t>
  </si>
  <si>
    <t>Jordan</t>
  </si>
  <si>
    <t>JOR</t>
  </si>
  <si>
    <t>Japan</t>
  </si>
  <si>
    <t>JPN</t>
  </si>
  <si>
    <t>Kazakhstan</t>
  </si>
  <si>
    <t>KAZ</t>
  </si>
  <si>
    <t>Kenya</t>
  </si>
  <si>
    <t>KEN</t>
  </si>
  <si>
    <t>Kyrgyz Republic</t>
  </si>
  <si>
    <t>KGZ</t>
  </si>
  <si>
    <t>Cambodia</t>
  </si>
  <si>
    <t>KHM</t>
  </si>
  <si>
    <t>Kiribati</t>
  </si>
  <si>
    <t>KIR</t>
  </si>
  <si>
    <t>St. Kitts and Nevis</t>
  </si>
  <si>
    <t>KNA</t>
  </si>
  <si>
    <t>Korea, Rep.</t>
  </si>
  <si>
    <t>KOR</t>
  </si>
  <si>
    <t>Kuwait</t>
  </si>
  <si>
    <t>KWT</t>
  </si>
  <si>
    <t>Lao PDR</t>
  </si>
  <si>
    <t>LAO</t>
  </si>
  <si>
    <t>Lebanon</t>
  </si>
  <si>
    <t>LBN</t>
  </si>
  <si>
    <t>Liberia</t>
  </si>
  <si>
    <t>LBR</t>
  </si>
  <si>
    <t>Libya</t>
  </si>
  <si>
    <t>LBY</t>
  </si>
  <si>
    <t>St. Lucia</t>
  </si>
  <si>
    <t>LCA</t>
  </si>
  <si>
    <t>Liechtenstein</t>
  </si>
  <si>
    <t>LIE</t>
  </si>
  <si>
    <t>Sri Lanka</t>
  </si>
  <si>
    <t>LKA</t>
  </si>
  <si>
    <t>Lesotho</t>
  </si>
  <si>
    <t>LSO</t>
  </si>
  <si>
    <t>Lithuania</t>
  </si>
  <si>
    <t>LTU</t>
  </si>
  <si>
    <t>Luxembourg</t>
  </si>
  <si>
    <t>LUX</t>
  </si>
  <si>
    <t>Latvia</t>
  </si>
  <si>
    <t>LVA</t>
  </si>
  <si>
    <t>Macao SAR, China</t>
  </si>
  <si>
    <t>MAC</t>
  </si>
  <si>
    <t>St. Martin (French part)</t>
  </si>
  <si>
    <t>MAF</t>
  </si>
  <si>
    <t>Morocco</t>
  </si>
  <si>
    <t>MAR</t>
  </si>
  <si>
    <t>Monaco</t>
  </si>
  <si>
    <t>MCO</t>
  </si>
  <si>
    <t>Moldova</t>
  </si>
  <si>
    <t>MDA</t>
  </si>
  <si>
    <t>Madagascar</t>
  </si>
  <si>
    <t>MDG</t>
  </si>
  <si>
    <t>Maldives</t>
  </si>
  <si>
    <t>MDV</t>
  </si>
  <si>
    <t>Mexico</t>
  </si>
  <si>
    <t>MEX</t>
  </si>
  <si>
    <t>Marshall Islands</t>
  </si>
  <si>
    <t>MHL</t>
  </si>
  <si>
    <t>Macedonia, FYR</t>
  </si>
  <si>
    <t>MKD</t>
  </si>
  <si>
    <t>Mali</t>
  </si>
  <si>
    <t>MLI</t>
  </si>
  <si>
    <t>Malta</t>
  </si>
  <si>
    <t>MLT</t>
  </si>
  <si>
    <t>Myanmar</t>
  </si>
  <si>
    <t>MMR</t>
  </si>
  <si>
    <t>Montenegro</t>
  </si>
  <si>
    <t>MNE</t>
  </si>
  <si>
    <t>Mongolia</t>
  </si>
  <si>
    <t>MNG</t>
  </si>
  <si>
    <t>Northern Mariana Islands</t>
  </si>
  <si>
    <t>MNP</t>
  </si>
  <si>
    <t>Mozambique</t>
  </si>
  <si>
    <t>MOZ</t>
  </si>
  <si>
    <t>Mauritania</t>
  </si>
  <si>
    <t>MRT</t>
  </si>
  <si>
    <t>Mauritius</t>
  </si>
  <si>
    <t>MUS</t>
  </si>
  <si>
    <t>Malawi</t>
  </si>
  <si>
    <t>MWI</t>
  </si>
  <si>
    <t>Malaysia</t>
  </si>
  <si>
    <t>MYS</t>
  </si>
  <si>
    <t>Namibia</t>
  </si>
  <si>
    <t>NAM</t>
  </si>
  <si>
    <t>New Caledonia</t>
  </si>
  <si>
    <t>NCL</t>
  </si>
  <si>
    <t>Niger</t>
  </si>
  <si>
    <t>NER</t>
  </si>
  <si>
    <t>Nigeria</t>
  </si>
  <si>
    <t>NGA</t>
  </si>
  <si>
    <t>Nicaragua</t>
  </si>
  <si>
    <t>NIC</t>
  </si>
  <si>
    <t>Netherlands</t>
  </si>
  <si>
    <t>NLD</t>
  </si>
  <si>
    <t>Norway</t>
  </si>
  <si>
    <t>NOR</t>
  </si>
  <si>
    <t>Nepal</t>
  </si>
  <si>
    <t>NPL</t>
  </si>
  <si>
    <t>Nauru</t>
  </si>
  <si>
    <t>NRU</t>
  </si>
  <si>
    <t>New Zealand</t>
  </si>
  <si>
    <t>NZL</t>
  </si>
  <si>
    <t>Oman</t>
  </si>
  <si>
    <t>OMN</t>
  </si>
  <si>
    <t>Pakistan</t>
  </si>
  <si>
    <t>PAK</t>
  </si>
  <si>
    <t>Panama</t>
  </si>
  <si>
    <t>PAN</t>
  </si>
  <si>
    <t>Peru</t>
  </si>
  <si>
    <t>PER</t>
  </si>
  <si>
    <t>Philippines</t>
  </si>
  <si>
    <t>PHL</t>
  </si>
  <si>
    <t>Palau</t>
  </si>
  <si>
    <t>PLW</t>
  </si>
  <si>
    <t>Papua New Guinea</t>
  </si>
  <si>
    <t>PNG</t>
  </si>
  <si>
    <t>Poland</t>
  </si>
  <si>
    <t>POL</t>
  </si>
  <si>
    <t>Puerto Rico</t>
  </si>
  <si>
    <t>PRI</t>
  </si>
  <si>
    <t>Korea, Dem. People’s Rep.</t>
  </si>
  <si>
    <t>PRK</t>
  </si>
  <si>
    <t>Portugal</t>
  </si>
  <si>
    <t>PRT</t>
  </si>
  <si>
    <t>Paraguay</t>
  </si>
  <si>
    <t>PRY</t>
  </si>
  <si>
    <t>West Bank and Gaza</t>
  </si>
  <si>
    <t>PSE</t>
  </si>
  <si>
    <t>French Polynesia</t>
  </si>
  <si>
    <t>PYF</t>
  </si>
  <si>
    <t>Qatar</t>
  </si>
  <si>
    <t>QAT</t>
  </si>
  <si>
    <t>Romania</t>
  </si>
  <si>
    <t>ROU</t>
  </si>
  <si>
    <t>Russian Federation</t>
  </si>
  <si>
    <t>RUS</t>
  </si>
  <si>
    <t>Rwanda</t>
  </si>
  <si>
    <t>RWA</t>
  </si>
  <si>
    <t>Saudi Arabia</t>
  </si>
  <si>
    <t>SAU</t>
  </si>
  <si>
    <t>Sudan</t>
  </si>
  <si>
    <t>SDN</t>
  </si>
  <si>
    <t>Senegal</t>
  </si>
  <si>
    <t>SEN</t>
  </si>
  <si>
    <t>Singapore</t>
  </si>
  <si>
    <t>SGP</t>
  </si>
  <si>
    <t>Solomon Islands</t>
  </si>
  <si>
    <t>SLB</t>
  </si>
  <si>
    <t>Sierra Leone</t>
  </si>
  <si>
    <t>SLE</t>
  </si>
  <si>
    <t>El Salvador</t>
  </si>
  <si>
    <t>SLV</t>
  </si>
  <si>
    <t>San Marino</t>
  </si>
  <si>
    <t>SMR</t>
  </si>
  <si>
    <t>Somalia</t>
  </si>
  <si>
    <t>SOM</t>
  </si>
  <si>
    <t>Serbia</t>
  </si>
  <si>
    <t>SRB</t>
  </si>
  <si>
    <t>South Sudan</t>
  </si>
  <si>
    <t>SSD</t>
  </si>
  <si>
    <t>Sao Tome and Principe</t>
  </si>
  <si>
    <t>STP</t>
  </si>
  <si>
    <t>Suriname</t>
  </si>
  <si>
    <t>SUR</t>
  </si>
  <si>
    <t>Slovak Republic</t>
  </si>
  <si>
    <t>SVK</t>
  </si>
  <si>
    <t>Slovenia</t>
  </si>
  <si>
    <t>SVN</t>
  </si>
  <si>
    <t>Sweden</t>
  </si>
  <si>
    <t>SWE</t>
  </si>
  <si>
    <t>Swaziland</t>
  </si>
  <si>
    <t>SWZ</t>
  </si>
  <si>
    <t>Sint Maarten (Dutch part)</t>
  </si>
  <si>
    <t>SXM</t>
  </si>
  <si>
    <t>Seychelles</t>
  </si>
  <si>
    <t>SYC</t>
  </si>
  <si>
    <t>Syrian Arab Republic</t>
  </si>
  <si>
    <t>SYR</t>
  </si>
  <si>
    <t>Turks and Caicos Islands</t>
  </si>
  <si>
    <t>TCA</t>
  </si>
  <si>
    <t>Chad</t>
  </si>
  <si>
    <t>TCD</t>
  </si>
  <si>
    <t>Togo</t>
  </si>
  <si>
    <t>TGO</t>
  </si>
  <si>
    <t>Thailand</t>
  </si>
  <si>
    <t>THA</t>
  </si>
  <si>
    <t>Tajikistan</t>
  </si>
  <si>
    <t>TJK</t>
  </si>
  <si>
    <t>Turkmenistan</t>
  </si>
  <si>
    <t>TKM</t>
  </si>
  <si>
    <t>Timor-Leste</t>
  </si>
  <si>
    <t>TLS</t>
  </si>
  <si>
    <t>Tonga</t>
  </si>
  <si>
    <t>TON</t>
  </si>
  <si>
    <t>Trinidad and Tobago</t>
  </si>
  <si>
    <t>TTO</t>
  </si>
  <si>
    <t>Tunisia</t>
  </si>
  <si>
    <t>TUN</t>
  </si>
  <si>
    <t>Turkey</t>
  </si>
  <si>
    <t>TUR</t>
  </si>
  <si>
    <t>Tuvalu</t>
  </si>
  <si>
    <t>TUV</t>
  </si>
  <si>
    <t>Tanzania</t>
  </si>
  <si>
    <t>TZA</t>
  </si>
  <si>
    <t>Uganda</t>
  </si>
  <si>
    <t>UGA</t>
  </si>
  <si>
    <t>Ukraine</t>
  </si>
  <si>
    <t>UKR</t>
  </si>
  <si>
    <t>Uruguay</t>
  </si>
  <si>
    <t>URY</t>
  </si>
  <si>
    <t>United States</t>
  </si>
  <si>
    <t>USA</t>
  </si>
  <si>
    <t>Uzbekistan</t>
  </si>
  <si>
    <t>UZB</t>
  </si>
  <si>
    <t>St. Vincent and the Grenadines</t>
  </si>
  <si>
    <t>VCT</t>
  </si>
  <si>
    <t>Venezuela, RB</t>
  </si>
  <si>
    <t>VEN</t>
  </si>
  <si>
    <t>British Virgin Islands</t>
  </si>
  <si>
    <t>VGB</t>
  </si>
  <si>
    <t>Virgin Islands (U.S.)</t>
  </si>
  <si>
    <t>VIR</t>
  </si>
  <si>
    <t>Vietnam</t>
  </si>
  <si>
    <t>VNM</t>
  </si>
  <si>
    <t>Vanuatu</t>
  </si>
  <si>
    <t>VUT</t>
  </si>
  <si>
    <t>Samoa</t>
  </si>
  <si>
    <t>WSM</t>
  </si>
  <si>
    <t>Kosovo</t>
  </si>
  <si>
    <t>XKX</t>
  </si>
  <si>
    <t>Yemen, Rep.</t>
  </si>
  <si>
    <t>YEM</t>
  </si>
  <si>
    <t>South Africa</t>
  </si>
  <si>
    <t>ZAF</t>
  </si>
  <si>
    <t>Zambia</t>
  </si>
  <si>
    <t>ZMB</t>
  </si>
  <si>
    <t>Zimbabwe</t>
  </si>
  <si>
    <t>ZWE</t>
  </si>
  <si>
    <t>Average Africa</t>
  </si>
  <si>
    <t>Average Americas</t>
  </si>
  <si>
    <t>Average Asia</t>
  </si>
  <si>
    <t>Average Europe</t>
  </si>
  <si>
    <t>Average Oceania</t>
  </si>
  <si>
    <t>World</t>
  </si>
  <si>
    <t>Deutsch</t>
  </si>
  <si>
    <t>Italiano</t>
  </si>
  <si>
    <t>English</t>
  </si>
  <si>
    <t>Español</t>
  </si>
  <si>
    <t>Francais</t>
  </si>
  <si>
    <t>Portugues</t>
  </si>
  <si>
    <t>Griechisch</t>
  </si>
  <si>
    <t>GEMEINWOHL-RECHNER</t>
  </si>
  <si>
    <t>Calcolatore del Bene Comune</t>
  </si>
  <si>
    <t>BALANCE SHEET CALCULATOR</t>
  </si>
  <si>
    <t>CALCULADORA DEL BIEN COMÚN</t>
  </si>
  <si>
    <t>© GWÖ</t>
  </si>
  <si>
    <t>© Economia del Bene Comune</t>
  </si>
  <si>
    <t>© ECG</t>
  </si>
  <si>
    <t>© Economía del Bien Común</t>
  </si>
  <si>
    <t>Version</t>
  </si>
  <si>
    <t>Versione</t>
  </si>
  <si>
    <t>Versión</t>
  </si>
  <si>
    <t>Versão</t>
  </si>
  <si>
    <t>HERZLICH WILLKOMMEN!</t>
  </si>
  <si>
    <t>Benvenuto!</t>
  </si>
  <si>
    <t>WELCOME!</t>
  </si>
  <si>
    <t>¡Bienvenid@!</t>
  </si>
  <si>
    <t>Dieses Tool dient zur Berechnung der Gemeinwohl-Punkte Ihres Unternehmens. Es ist eine Ergänzung zum Gemeinwohlbericht und muss gemeinsam mit diesem genutzt werden.  Wir wünschen gutes Gelingen!</t>
  </si>
  <si>
    <t>Può utilizzare questo strumento per calcolare i punti del bene comune della sua impresa. Serve quale completamento alla relazione del bene comune e deve essere utilizzato assieme a questo.
Le auguriamo buon divertimento in questa attività di calcolo!</t>
  </si>
  <si>
    <t>This tool is for calculating the overall Common Good Points for your company or organisation. It complements the Common Good Report and has to be used together with it. Have fun with your calculation!</t>
  </si>
  <si>
    <t>Esta herramienta sirve para calcular la puntuación de su empresa de acuerdo al balance del Bien Común. Esta hoja de cálculo es complementaria al informe del Bien Común y debe utilizarse por tanto conjuntamente. ¡Buena suerte!</t>
  </si>
  <si>
    <t>WIE SIE DEN BILANZ-RECHNER RICHTIG VERWENDEN:</t>
  </si>
  <si>
    <t>Come utilizzare correttamente il calcolatore del bilancio:</t>
  </si>
  <si>
    <t>HOW TO USE THE BALANCE SHEET CALCULATOR:</t>
  </si>
  <si>
    <t>Cómo utilizar la calculadora del Bien Común correctamente</t>
  </si>
  <si>
    <t>1. Allgemeines</t>
  </si>
  <si>
    <t>1. Generale</t>
  </si>
  <si>
    <t>1. General</t>
  </si>
  <si>
    <t>Hier können Sie allgemeinen Angaben zu Ihrem Unternehmen machen.</t>
  </si>
  <si>
    <t>Qui può indicare tutte le informazioni e dati della sua impresa</t>
  </si>
  <si>
    <t>You can enter general information about your company or organisation in this section.</t>
  </si>
  <si>
    <t>En esta hoja puedes introducir información general sobre tu organización o empresa</t>
  </si>
  <si>
    <t xml:space="preserve">Hier müssen alle geforderten Kenngrößen eingetragen werden, da diese für die Gewichtung der Themen essentiell sind. </t>
  </si>
  <si>
    <t>Qui devono essere inseriti tutti i parametri richiesti, poiché questi sono essenziali per la ponderazione degli argomenti.</t>
  </si>
  <si>
    <t>All fields in this section must be completed as they are essential for the weighting of each theme.</t>
  </si>
  <si>
    <t>En esta hoja debes introducir todos los datos requeridos, pues el cálculo de la ponderación depende de ellos</t>
  </si>
  <si>
    <t>Für jedes Thema (A1, B1, ...) kann eine bestimmte Anzahl an Gemeinwohl-Punkten erreicht werden. Um zu ermitteln, wie viele davon Ihr Unternehmen erhält, gehen Sie wie folgt vor:</t>
  </si>
  <si>
    <t>Per ogni tema (A1, B1, ...) può essere raggiunto un determinate valore di punteggio del bene comune. Per ricavare, che punteggio ottiene la Sua impresa proceda nel modo seguente:</t>
  </si>
  <si>
    <t>For each theme (A1, B1, ...) a certain maximum number of Common Good Points can be achieved. To evaluate how many points your company scores, follow these steps:</t>
  </si>
  <si>
    <t>Para cada tema (A1, B1, …) puede obtenerse una puntuación determinada. Para calcular cuál obtiene su empresa, siga los pasos siguientes:</t>
  </si>
  <si>
    <r>
      <rPr>
        <sz val="11"/>
        <color indexed="8"/>
        <rFont val="Calibri"/>
        <family val="2"/>
      </rPr>
      <t>Beschreiben Sie auf Basis des Arbeitsbuchs in wenigen Stichworten</t>
    </r>
    <r>
      <rPr>
        <b/>
        <sz val="11"/>
        <color indexed="8"/>
        <rFont val="Calibri"/>
        <family val="2"/>
      </rPr>
      <t xml:space="preserve"> Ist-Zustand und Verbesserungspotenzial</t>
    </r>
    <r>
      <rPr>
        <sz val="11"/>
        <color indexed="8"/>
        <rFont val="Calibri"/>
        <family val="2"/>
      </rPr>
      <t xml:space="preserve"> für die verschiedenen Aspekte (optional, ist für die Berechnung nicht unbedingt notwendig).</t>
    </r>
  </si>
  <si>
    <t>Descrivi sulla base del libro di esercizi in poche parole chiave lo stato attuale e il potenziale di miglioramento per i diversi aspetti (facoltativo, non è assolutamente necessario per il calcolo).</t>
  </si>
  <si>
    <t>Describe the current status and potential for improvement for the various aspects under key headings. Use the workbook as a reference. (This is optional and not absolutely necessary for the calculation.)</t>
  </si>
  <si>
    <t>Describa en pocas palabras, de acuerdo al manual del Balance del Bien Común, cuál es el estado actual y el potencial de mejora para cada uno de los aspectos (opcional, no es necesario para el cálculo de la puntuación).</t>
  </si>
  <si>
    <t>Geben Sie - aufbauend auf diesen Beschreibungen - an, entsprechend welchem Skalenwert (0-10) Ihrer Meinung nach der jeweilige Aspekt erfüllt ist (Spalte "Erfüllungsgrad"). Anhaltspunkte zur Wahl des "richtigen" Skalenwerts finden Sie wiederum im Arbeitsbuch.</t>
  </si>
  <si>
    <t>In base a queste descrizioni, indica in base a quale valore di scala (0-10) pensi che il rispettivo aspetto sia soddisfatto (colonna "grado di realizzazione"). Troverete indizi per scegliere il valore di scala "corretto" nella cartella di lavoro.</t>
  </si>
  <si>
    <t>Based on these descriptions, indicate on a scale of 0-10 how far you consider the respective aspect is met (Achievement level). The criteria for choosing the correct value can be found in the Workbook.</t>
  </si>
  <si>
    <t>A partir de las descripciones previas, introduzca una puntuación de 0 a 10 que indique, según su opinión, el nivel de satisfacción de cada aspecto. Los niveles de referencia para la puntuación y otras indicaciones al respecto se encuentran en el manual.</t>
  </si>
  <si>
    <t xml:space="preserve">Für die Bewertung der Negativaspekte geben Sie Punktewerte entsprechend der Beschreibungen im Arbeitsbuch an. </t>
  </si>
  <si>
    <t>Per la valutazione degli aspetti negativi si indicano i valori dei punti in base alle descrizioni nel manuale.</t>
  </si>
  <si>
    <t>Negative aspects are allocated negative points according to the descriptions set out in the Workbook.</t>
  </si>
  <si>
    <t>Para aportar una puntuación a cada uno de los aspectos negativos utilice las indicaciones del manual.</t>
  </si>
  <si>
    <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t>
  </si>
  <si>
    <t>È possibile modificare le ponderazioni relative dei singoli aspetti (A1.1, A1.2, ...), se necessario per la propria azienda, in consultazione con l’auitor. Nella colonna "Peso", è possibile selezionare i valori per ogni aspetto. La distribuzione dei possibili punti sui singoli aspetti viene quindi regolata automaticamente, in modo che la somma di tutti gli aspetti di un argomento sia sempre al 100%.</t>
  </si>
  <si>
    <t>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t>
  </si>
  <si>
    <t>Puede cambiar las ponderaciones que realiza la hoja de cálculo por defecto, siempre y cuando la auditoría esté de acuerdo. En la columna “Ponderación” puede seleccionar una opción del catálogo. La distribución de los puntos de cada uno de los aspectos se realiza automáticamente, de tal manera que la suma de todos los aspectos del tema siempre tiene como resultado el 100%.</t>
  </si>
  <si>
    <r>
      <rPr>
        <sz val="11"/>
        <color indexed="8"/>
        <rFont val="Calibri"/>
        <family val="2"/>
      </rPr>
      <t xml:space="preserve">Bei der Berechnung werden die Gesamtwerte pro Thema automatisch entsprechend der Angaben im Faktenblatt </t>
    </r>
    <r>
      <rPr>
        <b/>
        <sz val="11"/>
        <color indexed="8"/>
        <rFont val="Calibri"/>
        <family val="2"/>
      </rPr>
      <t>gewichtet</t>
    </r>
    <r>
      <rPr>
        <sz val="11"/>
        <color indexed="8"/>
        <rFont val="Calibri"/>
        <family val="2"/>
      </rPr>
      <t xml:space="preserve"> und auf ganzzahlige Vielfache von 10% </t>
    </r>
    <r>
      <rPr>
        <b/>
        <sz val="11"/>
        <color indexed="8"/>
        <rFont val="Calibri"/>
        <family val="2"/>
      </rPr>
      <t>gerundet</t>
    </r>
    <r>
      <rPr>
        <sz val="11"/>
        <color indexed="8"/>
        <rFont val="Calibri"/>
        <family val="2"/>
      </rPr>
      <t>.</t>
    </r>
  </si>
  <si>
    <t>Nel calcolo, i totali per argomento vengono automaticamente ponderati in base alla scheda informativa e arrotondati ai multipli interi del 10%.</t>
  </si>
  <si>
    <t>The calculation automatically weights each theme’s total value against the data in the ‘Company details’ section and rounds it to a whole-number multiple of 10%.</t>
  </si>
  <si>
    <t>Los valores introducidos son ponderados de acuerdo a los datos introducidos en la hoja 2. Company Facts. El resultado es redondeado y presentado como número entero.</t>
  </si>
  <si>
    <t>Die "GW-Matrix" bietet einen tabellarischen Überblick über Ihr Ergebnis.</t>
  </si>
  <si>
    <t>La "matrice EBC" fornisce una panoramica tabellare del risultato.</t>
  </si>
  <si>
    <t>The ECG-Matrix displays your result in a table.</t>
  </si>
  <si>
    <t>La hoja “ECG-Matrix” muestra los resultados en una tabla resumen.</t>
  </si>
  <si>
    <r>
      <rPr>
        <sz val="11"/>
        <color indexed="8"/>
        <rFont val="Calibri"/>
        <family val="2"/>
      </rPr>
      <t xml:space="preserve">Die "GW-Matrix" bietet einen </t>
    </r>
    <r>
      <rPr>
        <b/>
        <sz val="11"/>
        <color indexed="8"/>
        <rFont val="Calibri"/>
        <family val="2"/>
      </rPr>
      <t>tabellarischen Blick auf Ihr Ergebnis</t>
    </r>
    <r>
      <rPr>
        <sz val="11"/>
        <color indexed="8"/>
        <rFont val="Calibri"/>
        <family val="2"/>
      </rPr>
      <t>.</t>
    </r>
  </si>
  <si>
    <t>La "matrice EBC" offre una vista tabellare del risultato.</t>
  </si>
  <si>
    <t>The ECG Matrix displays your result in a table.</t>
  </si>
  <si>
    <t>La hoja “ECG-Matrix” muestra los resultados de la puntuación presentando una vista general en forma de matriz (tabla).</t>
  </si>
  <si>
    <r>
      <rPr>
        <sz val="11"/>
        <color indexed="8"/>
        <rFont val="Calibri"/>
        <family val="2"/>
      </rPr>
      <t xml:space="preserve">Der "Werte-Stern" zeigt schließlich Ihr </t>
    </r>
    <r>
      <rPr>
        <b/>
        <sz val="11"/>
        <color indexed="8"/>
        <rFont val="Calibri"/>
        <family val="2"/>
      </rPr>
      <t>Ergebnis nach Werten gegliedert</t>
    </r>
    <r>
      <rPr>
        <sz val="11"/>
        <color indexed="8"/>
        <rFont val="Calibri"/>
        <family val="2"/>
      </rPr>
      <t xml:space="preserve"> in graphischer Form.</t>
    </r>
  </si>
  <si>
    <t>La "stella dei valori" mostra infine il risultato in base a valori strutturati in forma grafica.</t>
  </si>
  <si>
    <t>The values-star displays your result arranged by value as a graphic.</t>
  </si>
  <si>
    <t>La hoja “Values” muestra un diagrama de araña en el que se muestran las puntuaciones según “valor” o columna de la matriz.</t>
  </si>
  <si>
    <r>
      <rPr>
        <sz val="11"/>
        <color indexed="8"/>
        <rFont val="Calibri"/>
        <family val="2"/>
      </rPr>
      <t xml:space="preserve">Der "Gruppen-Stern" zeigt schließlich Ihr </t>
    </r>
    <r>
      <rPr>
        <b/>
        <sz val="11"/>
        <color indexed="8"/>
        <rFont val="Calibri"/>
        <family val="2"/>
      </rPr>
      <t>Ergebnis nach Berührungsgruppen</t>
    </r>
    <r>
      <rPr>
        <sz val="11"/>
        <color indexed="8"/>
        <rFont val="Calibri"/>
        <family val="2"/>
      </rPr>
      <t xml:space="preserve"> gegliedert in graphischer Form.</t>
    </r>
  </si>
  <si>
    <t>La "stella dei gruppi" mostra infine il risultato in base a gruppi d’interesse  strutturati in forma grafica.</t>
  </si>
  <si>
    <t>The group-star displays your result arranged by stakeholder as a graphic.</t>
  </si>
  <si>
    <t>La hoja “Stakeholders” muestra un diagrama de araña en el que se muestran las puntuaciones según “grupo de interés” o fila de la matriz.</t>
  </si>
  <si>
    <r>
      <rPr>
        <sz val="11"/>
        <color indexed="8"/>
        <rFont val="Calibri"/>
        <family val="2"/>
      </rPr>
      <t>Der "Themen-Stern" zeigt schließlich Ihr Ergebnis in</t>
    </r>
    <r>
      <rPr>
        <b/>
        <sz val="11"/>
        <color indexed="8"/>
        <rFont val="Calibri"/>
        <family val="2"/>
      </rPr>
      <t xml:space="preserve"> allen Themen in graphischer Form</t>
    </r>
    <r>
      <rPr>
        <sz val="11"/>
        <color indexed="8"/>
        <rFont val="Calibri"/>
        <family val="2"/>
      </rPr>
      <t>.</t>
    </r>
  </si>
  <si>
    <t>La "stella dei temi" mostra finalmente il risultato in tutti i temi in forma grafica.</t>
  </si>
  <si>
    <t>The theme-star displays the result of your themes as a graphic.</t>
  </si>
  <si>
    <t>La hoja “Topics” muestra un diagrama de araña en el que se muestran las puntuaciones de cada tema.</t>
  </si>
  <si>
    <r>
      <rPr>
        <sz val="11"/>
        <color indexed="8"/>
        <rFont val="Calibri"/>
        <family val="2"/>
      </rPr>
      <t xml:space="preserve">Hier finden Sie eine </t>
    </r>
    <r>
      <rPr>
        <b/>
        <sz val="11"/>
        <color indexed="8"/>
        <rFont val="Calibri"/>
        <family val="2"/>
      </rPr>
      <t>Beschreibung der Gewichtungsmodelles</t>
    </r>
    <r>
      <rPr>
        <sz val="11"/>
        <color indexed="8"/>
        <rFont val="Calibri"/>
        <family val="2"/>
      </rPr>
      <t xml:space="preserve">. </t>
    </r>
  </si>
  <si>
    <t>Qui potete trovare una descrizione del modello di ponderazione.</t>
  </si>
  <si>
    <t>This is a description of the weighting model.</t>
  </si>
  <si>
    <t>En la hoja “Descr. Weighting” se encuentra una descripción del método de ponderación.</t>
  </si>
  <si>
    <r>
      <rPr>
        <sz val="11"/>
        <color indexed="8"/>
        <rFont val="Calibri"/>
        <family val="2"/>
      </rPr>
      <t xml:space="preserve">Hier erfolgt die </t>
    </r>
    <r>
      <rPr>
        <b/>
        <sz val="11"/>
        <color indexed="8"/>
        <rFont val="Calibri"/>
        <family val="2"/>
      </rPr>
      <t>Berechnung wie die einzelnen Berührungsgruppen und Themen gewichtet werden</t>
    </r>
    <r>
      <rPr>
        <sz val="11"/>
        <color indexed="8"/>
        <rFont val="Calibri"/>
        <family val="2"/>
      </rPr>
      <t>.</t>
    </r>
  </si>
  <si>
    <t>Qui il calcolo avviene come vengono pesati i singoli gruppi d’interesse ed i temi.</t>
  </si>
  <si>
    <t>This is where the calculation determines how the individual stakeholder groups and themes are weighted.</t>
  </si>
  <si>
    <t>En la hoja “Weighting” se realiza el cálculo para las ponderaciones de los grupos de interés y temas.</t>
  </si>
  <si>
    <r>
      <rPr>
        <sz val="11"/>
        <color indexed="8"/>
        <rFont val="Calibri"/>
        <family val="2"/>
      </rPr>
      <t xml:space="preserve">Enthält Einschätzungen der Relevanz von Zulieferkette und ökologische Nachhaltigkeit für alle </t>
    </r>
    <r>
      <rPr>
        <b/>
        <sz val="11"/>
        <color indexed="8"/>
        <rFont val="Calibri"/>
        <family val="2"/>
      </rPr>
      <t>Branchen,</t>
    </r>
    <r>
      <rPr>
        <sz val="11"/>
        <color indexed="8"/>
        <rFont val="Calibri"/>
        <family val="2"/>
      </rPr>
      <t xml:space="preserve">, die für die Gewichtung herangezogen werden. </t>
    </r>
  </si>
  <si>
    <t>Include stime della dell'importanza della rete dei fornitori e della sostenibilità ambientale per tutti i settori utilizzati per la ponderazione.</t>
  </si>
  <si>
    <t>This contains an assessment of the relevance of supply chains and environmental sustainability for all industry sectors, used in the weighting.</t>
  </si>
  <si>
    <t>Esta hoja contiene estimaciones sobre la relevancia de la cadena de suministro y sostenibilidad medioambiental de todos los sectores. Esta información se utiliza para realizar la ponderación.</t>
  </si>
  <si>
    <t xml:space="preserve">Enthält Statistiken für Länder und Regionen, die für die Gewichtung herangezogen werden. </t>
  </si>
  <si>
    <t>Contiene statistiche per paesi e regioni utilizzati per la ponderazione.</t>
  </si>
  <si>
    <t>This contains statistics for countries and regions used in the weighting.</t>
  </si>
  <si>
    <t>Esta hoja contiene estadísticas de países y regiones que son utilizadas para realizar las ponderaciones.</t>
  </si>
  <si>
    <t>2. Fakten zum Unternehmen</t>
  </si>
  <si>
    <t>2. Fatti sull'impresa</t>
  </si>
  <si>
    <t>2. Company details</t>
  </si>
  <si>
    <t>2. Datos de la empresa</t>
  </si>
  <si>
    <t>3. Berechnung</t>
  </si>
  <si>
    <t>3. calcolo</t>
  </si>
  <si>
    <t>3. Scoring</t>
  </si>
  <si>
    <t>3. Cálculo</t>
  </si>
  <si>
    <t>4. GW-Matrix</t>
  </si>
  <si>
    <t>4. matrice del bene comune</t>
  </si>
  <si>
    <t>4. ECG Matrix</t>
  </si>
  <si>
    <t>4. Matriz EBC</t>
  </si>
  <si>
    <t>5. Werte-Stern</t>
  </si>
  <si>
    <t>5. valori stella</t>
  </si>
  <si>
    <t>5. Values star</t>
  </si>
  <si>
    <t>5. Diagrama valores</t>
  </si>
  <si>
    <t>6. Gruppen-Stern</t>
  </si>
  <si>
    <t>6. gruppi stella</t>
  </si>
  <si>
    <t>6. Group star</t>
  </si>
  <si>
    <t>6. Diagrama grupos de interés</t>
  </si>
  <si>
    <t>7. Themen-Stern</t>
  </si>
  <si>
    <t>7. argomenti stella</t>
  </si>
  <si>
    <t>7. Theme star</t>
  </si>
  <si>
    <t>7. Diagrama temas</t>
  </si>
  <si>
    <t>8. Beschreibung Gewichtungsmodell</t>
  </si>
  <si>
    <t>8. Modello di ponderazione della descrizione</t>
  </si>
  <si>
    <t>8. Weighting model description</t>
  </si>
  <si>
    <t>8. Descripción del método de ponderación</t>
  </si>
  <si>
    <t>9. Gewichtung (ausgeblendet)</t>
  </si>
  <si>
    <t>9. Ponderazione (nascosta)</t>
  </si>
  <si>
    <t>9. Weighting (hidden)</t>
  </si>
  <si>
    <t>9. Ponderación (oculta)</t>
  </si>
  <si>
    <t>10. Branchen (ausgeblendet)</t>
  </si>
  <si>
    <t>10. Settori (nascosti)</t>
  </si>
  <si>
    <t>10. Industry sectors (hidden)</t>
  </si>
  <si>
    <t>10. Sectores (oculta)</t>
  </si>
  <si>
    <t>11. Länder und Regionen (ausgeblendet)</t>
  </si>
  <si>
    <t>11. Paesi e regioni (nascosti)</t>
  </si>
  <si>
    <t>11. Countries (hidden)</t>
  </si>
  <si>
    <t>11. Países y regiones (oculta)</t>
  </si>
  <si>
    <t>LEGENDE</t>
  </si>
  <si>
    <t>LEGENDA</t>
  </si>
  <si>
    <t>KEY</t>
  </si>
  <si>
    <t>LEYENDA</t>
  </si>
  <si>
    <t>Feld ist beschreibbar (grüner Rahmen, dunkelgrüne Schrift)</t>
  </si>
  <si>
    <t>Il campo è descrivibile (cornici nere, scritta verde scuro)</t>
  </si>
  <si>
    <t>Field is editable (green frame, dark green text)</t>
  </si>
  <si>
    <t>Celda editable (borde verde, letra verde oscura)</t>
  </si>
  <si>
    <t>Feld ist nicht beschreibbar (grauer Rahmen, dunkelgraue Schrift)</t>
  </si>
  <si>
    <t>Il campo non è descrivibile (cornice grigia, scritta grigio scuro)</t>
  </si>
  <si>
    <t>Feld is read-only (grey frame, dark grey text)</t>
  </si>
  <si>
    <t>Celda protegida (borde gris, letra gris oscura)</t>
  </si>
  <si>
    <t>unerlaubter Wert eingegeben (zur korrekten Berechnung Wert ändern)</t>
  </si>
  <si>
    <t>È stato inserito un valore non permesso (per un calcolo corretto cambiare valore)</t>
  </si>
  <si>
    <t>non valid value entry (for correct calculation change value)</t>
  </si>
  <si>
    <t>Valor erróneo (cambie el valor para realizar un cálculo correcto)</t>
  </si>
  <si>
    <t>ja</t>
  </si>
  <si>
    <t>si</t>
  </si>
  <si>
    <t>yes</t>
  </si>
  <si>
    <t>Sí</t>
  </si>
  <si>
    <t>nein</t>
  </si>
  <si>
    <t>no</t>
  </si>
  <si>
    <t>No</t>
  </si>
  <si>
    <t>Pas</t>
  </si>
  <si>
    <t>Nao</t>
  </si>
  <si>
    <t>KONTAKT</t>
  </si>
  <si>
    <t>CONTATTO</t>
  </si>
  <si>
    <t>CONTACT</t>
  </si>
  <si>
    <t>CONTACTO</t>
  </si>
  <si>
    <t>Fragen zur Bilanz-Erstellung: beratung@gemeinwohl-oekonomie.org (GWÖ-BeraterInnen);</t>
  </si>
  <si>
    <t>Domande per il bilancio: info@economia-del-ben-comune.it (consulenti EBC)</t>
  </si>
  <si>
    <t>Questions regarding preparation of balance sheet:
beratung@gemeinwohl-oekonomie.org (GWÖ-BeraterInnen);</t>
  </si>
  <si>
    <t>Preguntas sobre como elaborar el balance del Bien Común: nodo-empresas@economia-del-bien-comun.es</t>
  </si>
  <si>
    <t>Fragen zur Auditierung: audit@gemeinwohl-oekonomie.org (GWÖ-AuditorInnen);</t>
  </si>
  <si>
    <t>Domande per l'audit: audit@febc.eu (Verificatori/auditori EBC)</t>
  </si>
  <si>
    <t>Questions regarding audit: audit@gemeinwohl-oekonomie.org (GWÖ-AuditorInnen);</t>
  </si>
  <si>
    <t>Preguntas sobre la auditoría: nodo-empresas@economia-del-bien-comun.es</t>
  </si>
  <si>
    <r>
      <rPr>
        <sz val="11"/>
        <color indexed="8"/>
        <rFont val="Calibri"/>
        <family val="2"/>
      </rPr>
      <t xml:space="preserve">Weiterentwicklung der Matrix: </t>
    </r>
    <r>
      <rPr>
        <u/>
        <sz val="11"/>
        <color indexed="8"/>
        <rFont val="Calibri"/>
        <family val="2"/>
      </rPr>
      <t>bilanz@ecogood.org</t>
    </r>
    <r>
      <rPr>
        <sz val="11"/>
        <color indexed="8"/>
        <rFont val="Calibri"/>
        <family val="2"/>
      </rPr>
      <t xml:space="preserve"> (GWÖ-Matrix Entwicklungsteam);</t>
    </r>
  </si>
  <si>
    <t>Feedback on the development of the Matrix: bilanz@ecogood.org (Matrix Development Team)</t>
  </si>
  <si>
    <t>Desarrollo de la matriz: bilanz@ecogood.org (Equipo de desarrollo de la matriz EBC)</t>
  </si>
  <si>
    <t>Excel-Programmierung: Christian Loy (christian.loy@gmx.at); Christian Kozina; Multilanguage-tool: Bernhard Oberrauch</t>
  </si>
  <si>
    <t>Programmazione Excel: Christian Loy (christian.loy@gmx.at); Christian Kozina; Multilanguage-tool: Bernhard Oberrauch (info@a-bo.net)</t>
  </si>
  <si>
    <t>Excel programming: Christian Loy (christian.loy@gmx.at); Christian Kozina; Multilanguage tool: Bernhard Oberrauch</t>
  </si>
  <si>
    <t>Programación en Excel: Christian Loy (christian.loy@gmx.at);Christian Kozina; Multilanguage-tool: Bernhard Oberrauch</t>
  </si>
  <si>
    <t>Inhalte: GWÖ-Matrix Entwicklungsteam</t>
  </si>
  <si>
    <t>Contents: ECG-Matrix Development Team</t>
  </si>
  <si>
    <t>Contenido: Equipo de desarrollo de la matriz EBC</t>
  </si>
  <si>
    <t>ANMERKUNGEN</t>
  </si>
  <si>
    <t>ANNOTAZIONI</t>
  </si>
  <si>
    <t>NOTES</t>
  </si>
  <si>
    <t>NOTAS ACLARATORIAS</t>
  </si>
  <si>
    <t>Alle Tabellen sind optimiert für den Ausdruck auf A4 (Hoch- oder Querformat).
Die Höhe der Zeilen ist veränderbar, falls Sie mehr Text eingeben wollen.</t>
  </si>
  <si>
    <t>Tutte le tabelle sono ottimizzate per la stampa in A4 (verticale o orizzontale).
L’Altezza delle celle è modificabile, nel caso Lei dovesse inserire più testo.</t>
  </si>
  <si>
    <t>All sheets are optimised for printing on A4 format (landscape or portrait).
The height of rows can be adjusted, if you enter more text</t>
  </si>
  <si>
    <t>Todas las hojas están editadas de tal manera que puedan imprimirse en un A4 (horizontal o vertical).
Si necesita más espacio para añadir más texto puede cambiar la altura de las filas.</t>
  </si>
  <si>
    <t>ALLGEMEINE ANGABEN ZUM UNTERNEHMEN</t>
  </si>
  <si>
    <t>Dati dell'impresa</t>
  </si>
  <si>
    <t>GENERAL INFORMATION ABOUT THE COMPANY</t>
  </si>
  <si>
    <t>INFORMACIÓN GENERAL SOBRE LA EMPRESA</t>
  </si>
  <si>
    <t>Bitte vollständig ausfüllen!</t>
  </si>
  <si>
    <t>Per favore compili completamente!</t>
  </si>
  <si>
    <t>Please complete all fields.</t>
  </si>
  <si>
    <t>Por favor introduzca todos los datos</t>
  </si>
  <si>
    <t>Name des Unternehmens:</t>
  </si>
  <si>
    <t>Nome dell'impresa:</t>
  </si>
  <si>
    <t>Name of Company / Organisation:</t>
  </si>
  <si>
    <t>Nombre de la empresa:</t>
  </si>
  <si>
    <t>Anschrift:</t>
  </si>
  <si>
    <t>Indirizzo:</t>
  </si>
  <si>
    <t>Address:</t>
  </si>
  <si>
    <t>Dirección:</t>
  </si>
  <si>
    <t>Staat:</t>
  </si>
  <si>
    <t>Stato:</t>
  </si>
  <si>
    <t>Country:</t>
  </si>
  <si>
    <t>Estado:</t>
  </si>
  <si>
    <t>Branche:</t>
  </si>
  <si>
    <t>Settore:</t>
  </si>
  <si>
    <t>Industry sector:</t>
  </si>
  <si>
    <t>Sector:</t>
  </si>
  <si>
    <t>Website:</t>
  </si>
  <si>
    <t>Sito web:</t>
  </si>
  <si>
    <t>Página web:</t>
  </si>
  <si>
    <t>Anzahl der MitarbeiterInnen:</t>
  </si>
  <si>
    <t>Presenza adetti</t>
  </si>
  <si>
    <t>Number of employees</t>
  </si>
  <si>
    <t>Número de trabajadores:</t>
  </si>
  <si>
    <t>Ein-Personen-Unternehmen:</t>
  </si>
  <si>
    <t>Impresa "di un collabpratore":</t>
  </si>
  <si>
    <t>Sole trader (ST) (or single-person)</t>
  </si>
  <si>
    <t>Empresas unipersonales:</t>
  </si>
  <si>
    <t>(Hinweis: Wenn ja, werden die für EPUs gültigen Werte automatisch in die Berechnung übernommen.)</t>
  </si>
  <si>
    <t>(Attenzione: se la risposta è si, I valori validi per l’impresa individuale vengono accettati automaticamente nel calcolo.)</t>
  </si>
  <si>
    <t>(Note: If yes, the values for STs will be filled in automatically for the calculation)</t>
  </si>
  <si>
    <t>(Nota: si introduce sí, entonces se aplican algunos valores automáticos en la ponderación)</t>
  </si>
  <si>
    <t>Bilanzjahr:</t>
  </si>
  <si>
    <t>bilancio anno:</t>
  </si>
  <si>
    <t>Balance year:</t>
  </si>
  <si>
    <t>Año del balance:</t>
  </si>
  <si>
    <t>ErstellerIn:</t>
  </si>
  <si>
    <t>Compilatore/trice:</t>
  </si>
  <si>
    <t>Document created by:</t>
  </si>
  <si>
    <t>Redactor del balance:</t>
  </si>
  <si>
    <t>E-Mail-Adresse:</t>
  </si>
  <si>
    <t>indirizzo mail:</t>
  </si>
  <si>
    <t>Email address:</t>
  </si>
  <si>
    <t>E-mail:</t>
  </si>
  <si>
    <t>Telefonnummer:</t>
  </si>
  <si>
    <t>numero di telefono:</t>
  </si>
  <si>
    <t>Phone number:</t>
  </si>
  <si>
    <t>Teléfono:</t>
  </si>
  <si>
    <t>BeraterIn:</t>
  </si>
  <si>
    <t>Consulente:</t>
  </si>
  <si>
    <t>Consultant:</t>
  </si>
  <si>
    <t>Consultor/a:</t>
  </si>
  <si>
    <t>E-mail address:</t>
  </si>
  <si>
    <t>Phone Number</t>
  </si>
  <si>
    <t>Kurzbeschreibung
des Unternehmens:</t>
  </si>
  <si>
    <t>Breve descrizione dell'impresa:</t>
  </si>
  <si>
    <t>Short description of Company / Organisation</t>
  </si>
  <si>
    <t>Breve descripción de la empresa:</t>
  </si>
  <si>
    <t>Sonstige Anmerkungen:</t>
  </si>
  <si>
    <t>Altre osservazioni:</t>
  </si>
  <si>
    <t>Additional comments:</t>
  </si>
  <si>
    <t>Otros comentarios:</t>
  </si>
  <si>
    <t>BERECHNUNG DER EINZELNEN THEMEN</t>
  </si>
  <si>
    <t>Calcolo dei singoli criteri</t>
  </si>
  <si>
    <t>CALCULATION OF INDIVIDUAL INDICATORS</t>
  </si>
  <si>
    <t>CÁLCULO DE CADA UNO DE LOS TEMAS</t>
  </si>
  <si>
    <t>Unternehmen</t>
  </si>
  <si>
    <t>Azienda</t>
  </si>
  <si>
    <t>Company / Organisation</t>
  </si>
  <si>
    <t>Empresa:</t>
  </si>
  <si>
    <t>Empresa</t>
  </si>
  <si>
    <t>Bilanz-Jahr</t>
  </si>
  <si>
    <t>Anno di riferimento</t>
  </si>
  <si>
    <t>Period under review</t>
  </si>
  <si>
    <r>
      <rPr>
        <sz val="11"/>
        <color indexed="8"/>
        <rFont val="Calibri"/>
        <family val="2"/>
      </rPr>
      <t xml:space="preserve">Ano </t>
    </r>
    <r>
      <rPr>
        <sz val="11"/>
        <color indexed="62"/>
        <rFont val="Calibri"/>
        <family val="2"/>
      </rPr>
      <t>do Balançao</t>
    </r>
  </si>
  <si>
    <t>BERECHNUNG DER EINZELNEN ASPEKTE</t>
  </si>
  <si>
    <t>Calcolo detagliato dei singoli aspetti</t>
  </si>
  <si>
    <t>CALCULATION OF INDIVIDUAL ASPECTS</t>
  </si>
  <si>
    <t>CÁLCULO DE CADA UNO DE LOS ASPECTOS</t>
  </si>
  <si>
    <t>CÁLCULO DETALHADO DOS ASPECTOS</t>
  </si>
  <si>
    <t>Gemeinwohl-Bilanz-Rechner</t>
  </si>
  <si>
    <t>Calcolatore del bilancio del Bene Comune</t>
  </si>
  <si>
    <t>Common Good Balance Calculator</t>
  </si>
  <si>
    <t>Calculadora del Bien Común</t>
  </si>
  <si>
    <t>Tabela de Cálculo do Balançao do Bem Comum</t>
  </si>
  <si>
    <t>BILANZSUMME:</t>
  </si>
  <si>
    <t>Somma Bilancio:</t>
  </si>
  <si>
    <t>Total Balance Score:</t>
  </si>
  <si>
    <t>Puntuación total:</t>
  </si>
  <si>
    <t>SOMA DO BALANÇO:</t>
  </si>
  <si>
    <t>Nr.</t>
  </si>
  <si>
    <t>N°</t>
  </si>
  <si>
    <t>No.</t>
  </si>
  <si>
    <t>N.º</t>
  </si>
  <si>
    <t>Berührungsgruppe</t>
  </si>
  <si>
    <t>Gruppo coinvolto</t>
  </si>
  <si>
    <t xml:space="preserve">Stakeholders </t>
  </si>
  <si>
    <t>Grupos de interés</t>
  </si>
  <si>
    <t>Berührungsgruppe/Themen/Aspekte</t>
  </si>
  <si>
    <t>Gruppo d'Interesse/Tema/Aspetto</t>
  </si>
  <si>
    <t>Stakeholders/Indicators/Criteria</t>
  </si>
  <si>
    <t>Grupo de interés / Tema / Aspecto</t>
  </si>
  <si>
    <t>Gewichtung</t>
  </si>
  <si>
    <t>Peso</t>
  </si>
  <si>
    <t>Weight</t>
  </si>
  <si>
    <t>Ponderación</t>
  </si>
  <si>
    <t>molto alto</t>
  </si>
  <si>
    <t>very high</t>
  </si>
  <si>
    <t>Muy alta</t>
  </si>
  <si>
    <t>alto</t>
  </si>
  <si>
    <t>high</t>
  </si>
  <si>
    <t>Alta</t>
  </si>
  <si>
    <t>medio</t>
  </si>
  <si>
    <t>medium</t>
  </si>
  <si>
    <t>Media</t>
  </si>
  <si>
    <t>basso</t>
  </si>
  <si>
    <t>low</t>
  </si>
  <si>
    <t>Baja</t>
  </si>
  <si>
    <t>non da considerare</t>
  </si>
  <si>
    <t>not applicable</t>
  </si>
  <si>
    <t>No aplica</t>
  </si>
  <si>
    <t>Erläuterung</t>
  </si>
  <si>
    <t>Descrizione</t>
  </si>
  <si>
    <t>Current status</t>
  </si>
  <si>
    <t>Estado actual</t>
  </si>
  <si>
    <t>Estado atual</t>
  </si>
  <si>
    <t>Verbesserungspotenzial</t>
  </si>
  <si>
    <t>Possibilità di miglioramento</t>
  </si>
  <si>
    <t>Potential for improvement</t>
  </si>
  <si>
    <t>Áreas de mejora</t>
  </si>
  <si>
    <t>Potencial de aperfeiçoamento</t>
  </si>
  <si>
    <t>Erfüll.</t>
  </si>
  <si>
    <t>Val%</t>
  </si>
  <si>
    <t>Est%</t>
  </si>
  <si>
    <t>Nivel</t>
  </si>
  <si>
    <t>Pkte</t>
  </si>
  <si>
    <t>Punti</t>
  </si>
  <si>
    <t>Points</t>
  </si>
  <si>
    <t>Punt.</t>
  </si>
  <si>
    <t>Max.</t>
  </si>
  <si>
    <t>Stakeholders/ tematiche/ aspetti</t>
  </si>
  <si>
    <t>Stakeholders/ Themes/ Aspects</t>
  </si>
  <si>
    <t>Grupo de interesse/Temas/Aspectos</t>
  </si>
  <si>
    <t>Lieferant*innen</t>
  </si>
  <si>
    <t>Fornitori</t>
  </si>
  <si>
    <t>Suppliers</t>
  </si>
  <si>
    <t>Proveedores</t>
  </si>
  <si>
    <t>FORNECEDOR*S</t>
  </si>
  <si>
    <t>Menschenwürde in der Zulieferkette</t>
  </si>
  <si>
    <t>La dignità umana lungo la catena di fornitura</t>
  </si>
  <si>
    <t>Human dignity in the supply chain</t>
  </si>
  <si>
    <t>Dignidad humana en la cadena de suministro</t>
  </si>
  <si>
    <t>Dignidade humana na cadeia de suprimentos</t>
  </si>
  <si>
    <t>Arbeitsbedingungen und gesellschaftliche Auswirkungen in der Zulieferkette</t>
  </si>
  <si>
    <t>Condizioni di lavoro e conseguenze sociali nella catena di fornitura</t>
  </si>
  <si>
    <t>Working conditions and social impact in the supply chain</t>
  </si>
  <si>
    <t>Condiciones de trabajo e impacto social en la cadena de suministro</t>
  </si>
  <si>
    <t xml:space="preserve">Condições de trabalho e impactos sociais na cadeia de suprimentos </t>
  </si>
  <si>
    <t>Negativ-Aspekt: Verletzung der Menschenwürde in der Zulieferkette</t>
  </si>
  <si>
    <t>Aspetto negativo: Violazione della dignità umana nella catena di fornitura</t>
  </si>
  <si>
    <t>Negative aspect: violation of human dignity in the supply chain</t>
  </si>
  <si>
    <t>Aspecto negativo: vulneración de la dignidad humana en la cadena de suministro</t>
  </si>
  <si>
    <t>Aspecto negativo: Violação da dignidade humana na cadeia de suprimentos</t>
  </si>
  <si>
    <t>Solidarität und Gerechtigkeit in der Zulieferkette</t>
  </si>
  <si>
    <t>Solidarietà e giustizia nella catena di fornitura</t>
  </si>
  <si>
    <t>Solidarity and social justice in the supply chain</t>
  </si>
  <si>
    <t>Justicia y solidaridad en la cadena de suministro</t>
  </si>
  <si>
    <t>Solidariedade e justiça na cadeia de suprimentos</t>
  </si>
  <si>
    <t>Faire Geschäftsbeziehungen zu direkten Lieferant*innen</t>
  </si>
  <si>
    <t>Relazioni commerciali eque nei confronti dei fornitori diretti</t>
  </si>
  <si>
    <t>Fair business practices towards direct suppliers</t>
  </si>
  <si>
    <t>Actitud ética con proveedores directos</t>
  </si>
  <si>
    <t xml:space="preserve">Relações comerciais justas com fornecedor*s diretos </t>
  </si>
  <si>
    <t>Positive Einflussnahme auf Solidarität und Gerechtigkeit in der gesamten Zulieferkette</t>
  </si>
  <si>
    <t>Influssi positivi sulla solidarietà e la giustizia lungo l'intera catena di fornitura</t>
  </si>
  <si>
    <t>Exercising a positive influence on solidarity and social justice in the supply chain</t>
  </si>
  <si>
    <t>Promoción de la justicia y la solidaridad en toda la cadena de suministro</t>
  </si>
  <si>
    <t>Influência positiva relativamente a solidariedade e justiça ao longo de toda a cadeia de suprimentos</t>
  </si>
  <si>
    <t>Negativ-Aspekt: Ausnutzung der Marktmacht gegenüber Lieferant*innen</t>
  </si>
  <si>
    <t>Aspetto negativo: Sfruttamento del potere di mercato nei confronti dei fornitori</t>
  </si>
  <si>
    <t>Negative aspect: abuse of market power against suppliers</t>
  </si>
  <si>
    <t>Aspecto negativo: abuso de poder de mercado frente a proveedores</t>
  </si>
  <si>
    <t>Aspecto negativo: Abuso do poder de mercado face a fornecedor*s</t>
  </si>
  <si>
    <t>Ökologische Nachhaltigkeit in der Zulieferkette</t>
  </si>
  <si>
    <t>Sostenibilità ecologica nella catena di fornitura</t>
  </si>
  <si>
    <t>Environmental sustainability in the supply chain</t>
  </si>
  <si>
    <t>Sostenibilidad medioambiental en la cadena de suministro</t>
  </si>
  <si>
    <t>Sustentabilidade ambiental na cadeia de suprimentos</t>
  </si>
  <si>
    <t>Umweltauswirkungen in der Zulieferkette</t>
  </si>
  <si>
    <t>Conseguenze ambientali lungo la catena di fornitura</t>
  </si>
  <si>
    <t>Environmental impact throughout the supply chain</t>
  </si>
  <si>
    <t>Impacto medioambiental en la cadena de suministro</t>
  </si>
  <si>
    <t>Impacto ambiental na cadeia de suprimentos</t>
  </si>
  <si>
    <t>Negativ-Aspekt:Unverhältnismäßig hohe Umweltauswirkungen in der Zulieferkette</t>
  </si>
  <si>
    <t>Aspetto negativo: Conseguenze ambientali sproporzionatamente elevate lungo la catena di fornitura</t>
  </si>
  <si>
    <t>Negative aspect: disproportionate environmental impact throughout the supply chain</t>
  </si>
  <si>
    <t>Aspecto negativo: impacto medioambiental desproporcionado en la cadena de suministro</t>
  </si>
  <si>
    <t>Aspecto negativo: Impactos ambientais proporcionalmente altos na cadeia de suprimentos</t>
  </si>
  <si>
    <t>Transparenz und Mitentscheidung in der Zulieferkette</t>
  </si>
  <si>
    <t>Trasparenza e condivisione delle decisioni lungo la catena di fornitura</t>
  </si>
  <si>
    <t>Transparency &amp; co-determination in the supply chain</t>
  </si>
  <si>
    <t>Transparencia y participación democrática en la cadena de suministro</t>
  </si>
  <si>
    <t>Transparência e co-decisão na cadeia de suprimentos</t>
  </si>
  <si>
    <t>Transparenz und Mitentscheidungsrechte für Lieferant*innen</t>
  </si>
  <si>
    <t>Trasparenza e diritti di condivisione delle decisioni per i fornitori</t>
  </si>
  <si>
    <t>Transparency towards suppliers and their right to co-determination</t>
  </si>
  <si>
    <t>Transparencia y participación democrática de los proveedores</t>
  </si>
  <si>
    <t>Transparência e direitos de co-decisão para fornecedor*s</t>
  </si>
  <si>
    <t>Positive Einflussnahme auf Transparenz und Mitentscheidung in der gesamten Zulieferkette</t>
  </si>
  <si>
    <t>Influssi positivi sulla trasparenza e la condivisione delle decisioni lungo l'intera catena di fornitura</t>
  </si>
  <si>
    <t>Positive influence on transparency and co-determination throughout the supply chain</t>
  </si>
  <si>
    <t>Promoción de la transparencia y participación democrática en toda la cadena de suministro</t>
  </si>
  <si>
    <t>Influência positiva relativamente a transparência e co-decisão ao longo de toda a cadeia de suprimentos</t>
  </si>
  <si>
    <t>Eigentümer*innen und Finanzpartner*innen</t>
  </si>
  <si>
    <t>Proprietari &amp; partner finanziari</t>
  </si>
  <si>
    <t>Owners, equity- and financial service providers</t>
  </si>
  <si>
    <t>Propietarios y proveedores financieros</t>
  </si>
  <si>
    <t>PROPRIETÁRI*S &amp; PARCEIR*S DE NEGÓCIO</t>
  </si>
  <si>
    <t>Ethische Haltung im Umgang mit Geldmitteln</t>
  </si>
  <si>
    <t>Atteggiamento etico nell'impiego di fondi</t>
  </si>
  <si>
    <t>Ethical position in relation to financial resources</t>
  </si>
  <si>
    <t>Actitud ética en la gestión de recursos financieros</t>
  </si>
  <si>
    <t xml:space="preserve">Atitude ética na gestão de recursos financeiros </t>
  </si>
  <si>
    <t>Finanzielle Unabhängigkeit durch Eigenfinanzierung</t>
  </si>
  <si>
    <t>Autonomia finanziaria grazie all'autofinanziamento</t>
  </si>
  <si>
    <t>Financial independence through equity financing</t>
  </si>
  <si>
    <t>Independencia financiera: autofinanciación</t>
  </si>
  <si>
    <t>Independência financeira por meio de autofinanciamento</t>
  </si>
  <si>
    <t>Gemeinwohlorientierte Fremdfinanzierung</t>
  </si>
  <si>
    <t>Finanziamento esterno orientato al bene comune</t>
  </si>
  <si>
    <t>Common Good-orientated borrowing</t>
  </si>
  <si>
    <t>Financiación externa orientada al Bien Común</t>
  </si>
  <si>
    <t>Financiamento externo por meio de instituições orientadas ao Bem Comum</t>
  </si>
  <si>
    <t>Ethische Haltung externer Finanzpartner*innen</t>
  </si>
  <si>
    <t>L'approccio etico di finanziatori esterni</t>
  </si>
  <si>
    <t>Ethical position of external financial partners</t>
  </si>
  <si>
    <t>Actitud ética de los proveedores financieros</t>
  </si>
  <si>
    <t xml:space="preserve">Atitude ética de parceir*s financeir*s extern*s </t>
  </si>
  <si>
    <t>Soziale Haltung im Umgang mit Geldmitteln</t>
  </si>
  <si>
    <t>Atteggiamento sociale nell'impiego di fondi</t>
  </si>
  <si>
    <t>Social position in relation to financial resources</t>
  </si>
  <si>
    <t>Actitud solidaria en la gestión de recursos financieros</t>
  </si>
  <si>
    <t xml:space="preserve">Atitude social na gestão de recursos financeiros </t>
  </si>
  <si>
    <t>Solidarische und gemeinwohlorientierte Mittelverwendung</t>
  </si>
  <si>
    <t>Impiego dei fondi solidale e orientato al bene comune</t>
  </si>
  <si>
    <t>Solidarity and Common Good-orientated use of funds</t>
  </si>
  <si>
    <t>Gestión de los recursos financieros de forma solidaria y orientada al Bien Común</t>
  </si>
  <si>
    <t xml:space="preserve">Alocação de recursos de forma solidária e orientada ao Bem Comum </t>
  </si>
  <si>
    <t>Negativ-Aspekt: Unfaire Verteilung von Geldmittel</t>
  </si>
  <si>
    <t>Aspetto negativo: Distribuzione iniqua di fondi</t>
  </si>
  <si>
    <t>Negative aspect: unfair distribution of funds</t>
  </si>
  <si>
    <t>Aspecto negativo: repartición injusta de los recursos financieros</t>
  </si>
  <si>
    <t xml:space="preserve">Aspecto negativo: Distribuição injusta de recursos financeiros </t>
  </si>
  <si>
    <t>Sozial-ökologische Investitionen und Mittelverwendung</t>
  </si>
  <si>
    <t>Investimenti socio-ecologici e impiego dei fondi</t>
  </si>
  <si>
    <t>Use of funds in relation to social and environmental impacts</t>
  </si>
  <si>
    <t>Inversiones financieras sostenibles y uso de los recursos financieros</t>
  </si>
  <si>
    <t xml:space="preserve">Investimentos e alocação de recursos com base em critérios sócio-ambientais </t>
  </si>
  <si>
    <t>Ökologische Qualität der Investitionen</t>
  </si>
  <si>
    <t>Qualità ecologica degli investimenti</t>
  </si>
  <si>
    <t>Environmental quality of investments</t>
  </si>
  <si>
    <t>Carácter ambiental de los recursos financieros</t>
  </si>
  <si>
    <t xml:space="preserve">Qualidade ambiental dos investimentos </t>
  </si>
  <si>
    <t>Gemeinwohlorientierte Veranlagung</t>
  </si>
  <si>
    <t>Investimento orientato al bene comune</t>
  </si>
  <si>
    <t>Common Good-orientated investment</t>
  </si>
  <si>
    <t>Inversiones orientadas al Bien Común</t>
  </si>
  <si>
    <t xml:space="preserve">Base fiscal/tributação orientada ao Bem Comum </t>
  </si>
  <si>
    <t>Negativ-Aspekt: Abhängigkeit von ökologisch bedenklichen Ressourcen</t>
  </si>
  <si>
    <t>Aspetto negativo: Dipendenza da risorse a rischio in termini ecologici</t>
  </si>
  <si>
    <t>Negative aspect: reliance on environmentally unsafe resources</t>
  </si>
  <si>
    <t>Aspecto negativo: dependencia de recursos perjudiciales para el medio ambiente</t>
  </si>
  <si>
    <t xml:space="preserve">Aspecto negativo: Dependência de recursos ambientalmente questionáveis </t>
  </si>
  <si>
    <t>Eigentum und Mitentscheidung</t>
  </si>
  <si>
    <t>Proprietà e condivisione delle decisioni</t>
  </si>
  <si>
    <t>Ownership and co-determination</t>
  </si>
  <si>
    <t>Propiedad y participación democrática</t>
  </si>
  <si>
    <t>Propriedade e co-decisão</t>
  </si>
  <si>
    <t>Gemeinwohlorientierte Eigentumsstruktur</t>
  </si>
  <si>
    <t>Struttura di proprietà orientata al bene comune</t>
  </si>
  <si>
    <t>Common Good-orientated ownership structure</t>
  </si>
  <si>
    <t>Distribución de la propiedad orientada al Bien Común</t>
  </si>
  <si>
    <t>Estrutura de propriedade orientada ao Bem Comum</t>
  </si>
  <si>
    <t>Negativ-Aspekt: Feindliche Übernahme</t>
  </si>
  <si>
    <t>Aspetto negativo: Scalata ostile</t>
  </si>
  <si>
    <t>Negative aspect: hostile takeover</t>
  </si>
  <si>
    <t>Aspecto negativo: oferta pública de adquisición (OPA) hostil</t>
  </si>
  <si>
    <t>Aspecto negativo: Aquisição hostil</t>
  </si>
  <si>
    <t>Mitarbeitende</t>
  </si>
  <si>
    <t>Collaboratori</t>
  </si>
  <si>
    <t>Employees</t>
  </si>
  <si>
    <t>Trabajadores</t>
  </si>
  <si>
    <t xml:space="preserve">COLABORADOR*S </t>
  </si>
  <si>
    <t>Menschenwürde am Arbeitsplatz</t>
  </si>
  <si>
    <t>La dignità umana sul posto di lavoro</t>
  </si>
  <si>
    <t>Human dignity in the workplace and working environment</t>
  </si>
  <si>
    <t>Dignidad humana en el puesto de trabajo</t>
  </si>
  <si>
    <t>Dignidade humana no local de trabalho</t>
  </si>
  <si>
    <t>Mitarbeiterorientierte Unternehmenskultur</t>
  </si>
  <si>
    <t>Cultura aziendale orientata ai collaboratori</t>
  </si>
  <si>
    <t>Employee-focused organisational culture</t>
  </si>
  <si>
    <t>Cultura empresarial orientada a las personas</t>
  </si>
  <si>
    <t>Cultura corporativa orientada aos/às colaborador*s</t>
  </si>
  <si>
    <t>Gesundheitsförderung und Arbeitsschutz</t>
  </si>
  <si>
    <t xml:space="preserve">Promozione della salute e protezione sul posto di lavoro </t>
  </si>
  <si>
    <t>Health promotion and occupational health and safety</t>
  </si>
  <si>
    <t>Promoción de la salud y seguridad en el trabajo</t>
  </si>
  <si>
    <t>Promoção da saúde e da segurança ocupacional</t>
  </si>
  <si>
    <t>Diversität und Chancengleichheit</t>
  </si>
  <si>
    <t>Diversità e pari opportunità</t>
  </si>
  <si>
    <t>Diversity and equal opportunities</t>
  </si>
  <si>
    <t>Diversidad e igualdad de oportunidades</t>
  </si>
  <si>
    <t>Diversidade e igualdade de oportunidades</t>
  </si>
  <si>
    <t>Negativ-Aspekt: Menschenunwürdige Arbeitsbedingungen</t>
  </si>
  <si>
    <t>Aspetto negativo: Condizioni di lavoro disumane</t>
  </si>
  <si>
    <t>Negative aspect: unfit working conditions</t>
  </si>
  <si>
    <t>Aspecto negativo: condiciones de trabajo indignas</t>
  </si>
  <si>
    <t xml:space="preserve">Aspecto negativo: Condições de trabalho que ferem a dignidade humana </t>
  </si>
  <si>
    <t>Ausgestaltung der Arbeitsverträge</t>
  </si>
  <si>
    <t>Self-determined working arrangements</t>
  </si>
  <si>
    <t>Formalidad de los contratos de trabajo</t>
  </si>
  <si>
    <t>Configuração dos contratos de trabalho</t>
  </si>
  <si>
    <t>Ausgestaltung des Verdienstes</t>
  </si>
  <si>
    <t>Strutturazione del guadagno</t>
  </si>
  <si>
    <t>Pay structure</t>
  </si>
  <si>
    <t>Formalidad y estructura salarial</t>
  </si>
  <si>
    <t xml:space="preserve">Configuração da remuneração </t>
  </si>
  <si>
    <t>Ausgestaltung der Arbeitszeit</t>
  </si>
  <si>
    <t>Organizzazione dell'orario di lavoro</t>
  </si>
  <si>
    <t>Structuring working time</t>
  </si>
  <si>
    <t>Formalidad en el horario laboral</t>
  </si>
  <si>
    <t>Configuração do horário de trabalho</t>
  </si>
  <si>
    <t>Ausgestaltung des Arbeitsverhältnisses und Work-Life-Balance</t>
  </si>
  <si>
    <t>Organizzazione del rapporto di lavoro e Work-Life-Balance</t>
  </si>
  <si>
    <t>Employment structure and work-life balance</t>
  </si>
  <si>
    <t>Formalidad en las condiciones de trabajo y en la conciliación</t>
  </si>
  <si>
    <t>Configuração das condições de trabalho, equilíbrio entre vida profissional e familiar</t>
  </si>
  <si>
    <t>Negativ-Aspekt: Ungerechte Ausgestaltung der Arbeitsverträge</t>
  </si>
  <si>
    <t>Aspetto negativo: Strutturazione ingiusta dei contratti di lavoro</t>
  </si>
  <si>
    <t>Negative aspect: unfair employment contracts</t>
  </si>
  <si>
    <t>Aspecto negativo: contratos de trabajo injustos</t>
  </si>
  <si>
    <t xml:space="preserve">Aspecto negativo: Configuração injusta dos contratos de trabalho </t>
  </si>
  <si>
    <t>Förderung des ökologischen Verhaltens der Mitarbeitenden</t>
  </si>
  <si>
    <t>Promozione del comportamento ecologico dei collaboratori</t>
  </si>
  <si>
    <t>Environmentally-friendly behaviour of staff</t>
  </si>
  <si>
    <t>Promoción de la responsabilidad medioambiental de los trabajadores</t>
  </si>
  <si>
    <t>Promoção de condutas sustentáveis entre colaborador*s</t>
  </si>
  <si>
    <t>Ernährung während der Arbeitszeit</t>
  </si>
  <si>
    <t>L'alimentazione durante l'orario di lavoro</t>
  </si>
  <si>
    <t>Food during working hours</t>
  </si>
  <si>
    <t>Alimentación durante la jornada laboral</t>
  </si>
  <si>
    <t xml:space="preserve">Alimentação durante o horário de trabalho </t>
  </si>
  <si>
    <t>Mobilität zum Arbeitsplatz</t>
  </si>
  <si>
    <t>Mobilità sul posto di lavoro</t>
  </si>
  <si>
    <t>Travel to work</t>
  </si>
  <si>
    <t>Movilidad sostenible al puesto de trabajo</t>
  </si>
  <si>
    <t>Mobilidade para o local de trabalho</t>
  </si>
  <si>
    <t>Organisationskultur, Sensibilisierung und unternehmensinterne Prozesse</t>
  </si>
  <si>
    <t>Cultura organizzativa, sensibilizzazione all'organizzazione ecologica dei processi</t>
  </si>
  <si>
    <t>Organisational culture, cultivating awareness for an environmentally-friendly approach</t>
  </si>
  <si>
    <t>Cultura empresarial sostenible y sensibilización con el medio ambiente</t>
  </si>
  <si>
    <t xml:space="preserve">Cultura organizacional, sensibilização e processos internos da empresa </t>
  </si>
  <si>
    <t>Negativ-Aspekt: Anleitung zur Verschwendung / Duldung unökologischen Verhaltens</t>
  </si>
  <si>
    <t>Aspetto negativo: Guida allo spreco / Tolleranza di comportamenti non ecologici</t>
  </si>
  <si>
    <t>Negative aspect: guidance on waste/ environmentally damaging practices</t>
  </si>
  <si>
    <t>Aspecto negativo: promoción y tolerancia frente a la actitud medioambiental no responsable</t>
  </si>
  <si>
    <t xml:space="preserve">Aspecto negativo: Orientação ao desperdício / tolerância de condutas ecologicamente nocivas </t>
  </si>
  <si>
    <t>Condivisione delle decisioni e trasparenza in azienda</t>
  </si>
  <si>
    <t>Co-determination and transparency within the organisation</t>
  </si>
  <si>
    <t>Transparencia y participación democrática interna</t>
  </si>
  <si>
    <t>Co-decisão e transparência no âmbito da empresa</t>
  </si>
  <si>
    <t>Innerbetriebliche Transparenz</t>
  </si>
  <si>
    <t>Trasparenza in azienda</t>
  </si>
  <si>
    <t>Transparency within the organisation</t>
  </si>
  <si>
    <t>Transparencia interna</t>
  </si>
  <si>
    <t>Transparência interna</t>
  </si>
  <si>
    <t>Legitimierung der Führungskräfte</t>
  </si>
  <si>
    <t>Legittimazione dei dirigenti</t>
  </si>
  <si>
    <t>Legitimation of the management</t>
  </si>
  <si>
    <t>Legitimación de la dirección</t>
  </si>
  <si>
    <t>Legitimação dos líderes</t>
  </si>
  <si>
    <t>Mitentscheidung der Mitarbeitenden</t>
  </si>
  <si>
    <t>Condivisione delle decisioni da parte dei collaboratori</t>
  </si>
  <si>
    <t>Employee co-determination</t>
  </si>
  <si>
    <t>Participación de los trabajadores en la toma de decisiones</t>
  </si>
  <si>
    <t xml:space="preserve">Co-decisão por parte d*s colaborador*s </t>
  </si>
  <si>
    <t>Negativ-Aspekt C4.4: Verhinderung des Betriebsrates</t>
  </si>
  <si>
    <t>Aspetto negativo: Impedimento del consiglio aziendale</t>
  </si>
  <si>
    <t>Negative aspect: obstruction of works councils</t>
  </si>
  <si>
    <t>Aspecto negativo: Impedimiento del comité de empresa</t>
  </si>
  <si>
    <t>Aspecto negativo: Impedimento da formação de Comités de Empresa</t>
  </si>
  <si>
    <t>Kund*nnen und Mitunternehmen</t>
  </si>
  <si>
    <t>Clienti &amp; concorrenti</t>
  </si>
  <si>
    <t>Customers and other companies</t>
  </si>
  <si>
    <t>Clientes y otras empresas</t>
  </si>
  <si>
    <t xml:space="preserve">CLIENTES &amp; PARCEIR*S DE NEGÓCIO </t>
  </si>
  <si>
    <t>Ethische Kund*innenbeziehungen</t>
  </si>
  <si>
    <t>Relazioni etiche con la clientela</t>
  </si>
  <si>
    <t>Ethical customer relations</t>
  </si>
  <si>
    <t>Actitud ética con los clientes</t>
  </si>
  <si>
    <t>con la clientela</t>
  </si>
  <si>
    <t>Relações éticas com clientes</t>
  </si>
  <si>
    <t>Menschenwürdige Kommunikation mit Kund*innen</t>
  </si>
  <si>
    <t>Comunicazione dignitosa con i clienti</t>
  </si>
  <si>
    <t>Respect for human dignity in communication with customers</t>
  </si>
  <si>
    <t>Comunicación transparente con los clientes</t>
  </si>
  <si>
    <t>Comunicação com clientes de forma digna</t>
  </si>
  <si>
    <t>Barrierefreiheit</t>
  </si>
  <si>
    <t>Assenza di barriere</t>
  </si>
  <si>
    <t>Barrier-free access</t>
  </si>
  <si>
    <t>Accesibilidad</t>
  </si>
  <si>
    <t xml:space="preserve">Acessibilidade </t>
  </si>
  <si>
    <t>Negativ-Aspekt: Unethische Werbemaßnahmen</t>
  </si>
  <si>
    <t>Aspetto negativo: Misure pubblicitarie non etiche</t>
  </si>
  <si>
    <t>Negative aspect: unethical advertising</t>
  </si>
  <si>
    <t>Aspecto negativo: publicidad engañosa y acciones comerciales no éticas</t>
  </si>
  <si>
    <t xml:space="preserve">Aspecto negativo: Atividades promocionais antiéticas </t>
  </si>
  <si>
    <t>Kooperation und Solidarität mit Mitunternehmen</t>
  </si>
  <si>
    <t>Cooperazione e solidarietà con i concorrenti</t>
  </si>
  <si>
    <t>Cooperation and solidarity with other companies</t>
  </si>
  <si>
    <t>Cooperación y solidaridad con otras empresas del sector</t>
  </si>
  <si>
    <t>Cooperação e solidariedade com parceir*s de negócio</t>
  </si>
  <si>
    <t>Kooperation mit Mitunternehmen</t>
  </si>
  <si>
    <t>Cooperazione con i concorrenti</t>
  </si>
  <si>
    <t>Cooperation with other companies</t>
  </si>
  <si>
    <t>Cooperación con otras empresas</t>
  </si>
  <si>
    <t>Cooperação com parceir*s de negócio</t>
  </si>
  <si>
    <t>Solidarität mit Mitunternehmen</t>
  </si>
  <si>
    <t>La solidarietà con i concorrenti</t>
  </si>
  <si>
    <t>Solidarity with other companies</t>
  </si>
  <si>
    <t>Solidaridad con otras empresas</t>
  </si>
  <si>
    <t>Solidariedade com parceir*s de negócio</t>
  </si>
  <si>
    <t>Negativ-Aspekt D2.3: Missbrauch der Marktmacht gegenüber Mitunternehmen</t>
  </si>
  <si>
    <t>Aspetto negativo: Abuso del potere di mercato nei confronti dei concorrenti</t>
  </si>
  <si>
    <t>Negative aspect: abuse of market power to the detriment of other companies</t>
  </si>
  <si>
    <t>Aspecto negativo: abuso de poder de mercado frente a otras empresas</t>
  </si>
  <si>
    <t>Aspecto negativo: Abuso do poder de mercado face a parceir*s de negócio</t>
  </si>
  <si>
    <t>Ökologische Auswirkung durch Nutzung und Entsorgung von Produkten und Dienstleistungen</t>
  </si>
  <si>
    <t>Conseguenze ecologiche dell'utilizzo e dello smaltimento di prodotti e servizi</t>
  </si>
  <si>
    <t>Impact on the environment of the use and disposal of products and services</t>
  </si>
  <si>
    <t>Impacto medioambiental del uso y de la gestión de residuos de los productos y servicios</t>
  </si>
  <si>
    <t>Impacto ambiental do uso e do descarte de produtos e serviços</t>
  </si>
  <si>
    <t>Ökologisches Kosten-Nutzen-Verhältnis von Produkten und Dienstleistungen (Effizienz und Konsistenz)</t>
  </si>
  <si>
    <t>Rapporto ecologico costi/ benefici di prodotti e servizi (efficienza e consistenza)</t>
  </si>
  <si>
    <t xml:space="preserve">Environmental cost-benefit ration of products and services (efficiency and consistency) </t>
  </si>
  <si>
    <t>Relación coste-beneficio medioambiental de productos y ervicios (eficiencia y consistencia)</t>
  </si>
  <si>
    <t>Relação custo-benefício em termos ambientais de produtos e serviços (eficiência e consistência)</t>
  </si>
  <si>
    <t>Maßvolle Nutzung von Produkten und Dienstleistungen (Suffizienz)</t>
  </si>
  <si>
    <t>Utilizzo moderato di prodotti e servizi (sufficienza)</t>
  </si>
  <si>
    <t>Moderate use of products and services (sufficiency)</t>
  </si>
  <si>
    <t>Uso moderado de productos y servicios (suficiencia)</t>
  </si>
  <si>
    <t>Utilização moderada de produtos e serviços (suficiência)</t>
  </si>
  <si>
    <t>Negativ-Aspekt: Bewusste Inkaufnahme unverhältnismäßiger, ökologischer Auswirkungen</t>
  </si>
  <si>
    <t>Aspetto negativo: Accettazione consapevole di conseguenze ecologiche spropositate</t>
  </si>
  <si>
    <t>Negative aspect: wilful disregard of disproportionate environmental impacts</t>
  </si>
  <si>
    <t>Aspecto negativo: tolerancia frente al impacto medioambiental desproporcionado y consciente</t>
  </si>
  <si>
    <t xml:space="preserve">Aspecto negativo: Tolerância consciente de impactos ambientais excessivos </t>
  </si>
  <si>
    <t>Kund*innen-Mitwirkung und Produkttransparenz</t>
  </si>
  <si>
    <t>Partecipazione dei clienti e trasparenza dei prodotti</t>
  </si>
  <si>
    <t>Customer participation and product transparency</t>
  </si>
  <si>
    <t>Participación de los clientes y transparencia de producto</t>
  </si>
  <si>
    <t>Envolvimento de clientes e transparência de produtos</t>
  </si>
  <si>
    <t>Kund*innen-Mitwirkung, gemeinsame Produktentwicklung und Marktforschung</t>
  </si>
  <si>
    <t>Partecipazione dei clienti, sviluppo comune dei prodotti e ricerca di mercato</t>
  </si>
  <si>
    <t>Customer participation, joint product development and market research</t>
  </si>
  <si>
    <t>Participación de los clientes en la toma de decisiones, desarrollo de producto e investigación de mercado</t>
  </si>
  <si>
    <t>Envolvimento de clientes, desenvolvimento de produtos e pesquisa de mercado em parceria</t>
  </si>
  <si>
    <t>Produkttransparenz</t>
  </si>
  <si>
    <t>Trasparenza dei prodotti</t>
  </si>
  <si>
    <t>Product transparency</t>
  </si>
  <si>
    <t>Transparencia de producto</t>
  </si>
  <si>
    <t>Transparência de produtos</t>
  </si>
  <si>
    <t>Negativ-Aspekt: Kein Ausweis von Gefahrenstoffen</t>
  </si>
  <si>
    <t>Aspetto negativo: Mancata indicazione di sostanze pericolose</t>
  </si>
  <si>
    <t>Negative aspect: non-disclosure of hazardous substances</t>
  </si>
  <si>
    <t>Aspecto negativo: no declaración sobre sustancias/mercancías peligrosas</t>
  </si>
  <si>
    <t>Aspecto negativo: Não-declaração de substâncias perigosas</t>
  </si>
  <si>
    <t>Gesellschaftliches Umfeld</t>
  </si>
  <si>
    <t>Contesto sociale</t>
  </si>
  <si>
    <t>Social environment</t>
  </si>
  <si>
    <t>Entorno social</t>
  </si>
  <si>
    <t xml:space="preserve">MEIO SOCIAL </t>
  </si>
  <si>
    <t>Sinn und gesellschaftliche Wirkung der Produkte und Dienstleistungen</t>
  </si>
  <si>
    <t>Senso e impatto dei prodotti e servizi sulla società</t>
  </si>
  <si>
    <t>Purpose of products and services and their effects on society</t>
  </si>
  <si>
    <t>Propósito e impacto positivo de los productos y servicios</t>
  </si>
  <si>
    <t>Sentido e impacto social dos produtos e serviços</t>
  </si>
  <si>
    <t>Produkte und Dienstleistungen decken den Grundbedarf und dienen dem guten Leben</t>
  </si>
  <si>
    <t>Prodotti e servizi coprono il fabbisogno di base e sono utili a una buona vita</t>
  </si>
  <si>
    <t>Products and services should cover basic needs and contribute to a good life</t>
  </si>
  <si>
    <t>Productos y servicios que cubren las necesidades básicas y mejoran la calidad de vida</t>
  </si>
  <si>
    <t>Produtos e serviços respondem às necessidades básicas e fomentam o bem-estar</t>
  </si>
  <si>
    <t>Gesellschaftliche Wirkung der Produkte und Dienstleistungen</t>
  </si>
  <si>
    <t>Impatto dei prodotti e servizi sulla società</t>
  </si>
  <si>
    <t>Social impact of products and services</t>
  </si>
  <si>
    <t>Impacto social de los productos y servicios</t>
  </si>
  <si>
    <t>Impacto social dos produtos e serviços</t>
  </si>
  <si>
    <t>Negativ-Aspekt: Menschenunwürdige Produkte und Dienstleistungen</t>
  </si>
  <si>
    <t>Aspetto negativo: Prodotti e servizi disumani</t>
  </si>
  <si>
    <t>Negative aspect: unethical and unfit products and services</t>
  </si>
  <si>
    <t>Aspecto negativo: productos y servicios que vulneran la dignidad humana</t>
  </si>
  <si>
    <t xml:space="preserve">Aspecto negativo: Produtos e serviços que ferem a dignidade humana </t>
  </si>
  <si>
    <t>Beitrag zum Gemeinwesen</t>
  </si>
  <si>
    <t>Contributo per la collettività</t>
  </si>
  <si>
    <t>Contribution to the community</t>
  </si>
  <si>
    <t>Contribución a la comunidad</t>
  </si>
  <si>
    <t>Contribuição para a comunidade</t>
  </si>
  <si>
    <t>Steuern und Sozialabgaben</t>
  </si>
  <si>
    <t>Imposte e oneri sociali</t>
  </si>
  <si>
    <t>Taxes and social security contributions</t>
  </si>
  <si>
    <t>Impuestos y prestaciones sociales</t>
  </si>
  <si>
    <t xml:space="preserve">Impostos e encargos sociais </t>
  </si>
  <si>
    <t>Freiwillige Beiträge zur Stärkung des Gemeinwesens</t>
  </si>
  <si>
    <t>Contributi volontari per rafforzare la collettività</t>
  </si>
  <si>
    <t>Voluntary contributions that strengthen society</t>
  </si>
  <si>
    <t>Contribución voluntaria a la comunidad</t>
  </si>
  <si>
    <t>Contribuição voluntária para o fortalecimento da comunidade</t>
  </si>
  <si>
    <t>Negativ-Aspekt: Illegitime Steuervermeidung</t>
  </si>
  <si>
    <t>Aspetto negativo: Evasione fiscale illecita</t>
  </si>
  <si>
    <t>Negative aspect: inappropriate non-payment of tax</t>
  </si>
  <si>
    <t>Aspecto negativo: elusión y evasión fiscal</t>
  </si>
  <si>
    <t xml:space="preserve">Aspecto negativo: Evasão fiscal </t>
  </si>
  <si>
    <t>Negativ-Aspekt: Mangelnde Korruptionsprävention</t>
  </si>
  <si>
    <t>Aspetto negativo: Mancata prevenzione della corruzione</t>
  </si>
  <si>
    <t>Negative aspect: no anti-corruption policy</t>
  </si>
  <si>
    <t>Aspecto negativo: falta de prevención frente a la corrupción</t>
  </si>
  <si>
    <t>Aspecto negativo: Medidas insufucientes de prevenção da corrupção</t>
  </si>
  <si>
    <t>Reduktion ökologischer Auswirkungen</t>
  </si>
  <si>
    <t>Riduzione delle conseguenze ecologiche</t>
  </si>
  <si>
    <t>Reduction of environmental impact</t>
  </si>
  <si>
    <t>Reducción del impacto medioambiental</t>
  </si>
  <si>
    <t xml:space="preserve">Redução de impactos ambientais </t>
  </si>
  <si>
    <t>Absolute Auswirkungen / Management &amp; Strategie</t>
  </si>
  <si>
    <t>Conseguenze assolute / Management &amp; strategia</t>
  </si>
  <si>
    <t>Absolute impact and management strategy</t>
  </si>
  <si>
    <t>Impacto medioambiental / Gestión y estrategia</t>
  </si>
  <si>
    <t>Impactos absolutos / Gestão &amp; Estratégia</t>
  </si>
  <si>
    <t>Relative Auswirkungen</t>
  </si>
  <si>
    <t>Conseguenze relative</t>
  </si>
  <si>
    <t>Relative impact</t>
  </si>
  <si>
    <t>Impacto relativo</t>
  </si>
  <si>
    <t>Impactos relativos</t>
  </si>
  <si>
    <t>Negativ-Aspekt: Verstöße gegen Umweltauflagen sowie unangemessene Umweltbelastungen</t>
  </si>
  <si>
    <t>Aspetto negativo: Violazioni dei requisiti ambientali e impatto inadeguato sull'ambiente</t>
  </si>
  <si>
    <t>Negative aspect: infringement of environmental regulations and disproportionate environmental pollution</t>
  </si>
  <si>
    <t>Aspecto negativo: infracción de la normativa medioambiental e impacto desproporcionado</t>
  </si>
  <si>
    <t xml:space="preserve">Aspecto negativo: Violação de exigências ambientais, bem como elevados impactos ambientais </t>
  </si>
  <si>
    <t>Transparenz und gesellschaftliche Mitentscheidung</t>
  </si>
  <si>
    <t>Trasparenza e condivisione sociale delle decisioni</t>
  </si>
  <si>
    <t>Social co-determination and transparency</t>
  </si>
  <si>
    <t>Transparencia y participación democrática del entorno social</t>
  </si>
  <si>
    <t xml:space="preserve">Transparência e participação social na tomada de decisões </t>
  </si>
  <si>
    <t>Transparenz</t>
  </si>
  <si>
    <t>Trasparenza</t>
  </si>
  <si>
    <t>Transparency</t>
  </si>
  <si>
    <t>Transparencia</t>
  </si>
  <si>
    <t>Transparência</t>
  </si>
  <si>
    <t>Gesellschaftliche Mitbestimmung</t>
  </si>
  <si>
    <t>Condivisione sociale delle decisioni</t>
  </si>
  <si>
    <t>Social participation</t>
  </si>
  <si>
    <t>Participación en la toma de decisiones el entorno social</t>
  </si>
  <si>
    <t>Participação social na tomada de decisões</t>
  </si>
  <si>
    <t>Negativ-Aspekt: Förderung von Intransparenz und bewusste Fehlinformation</t>
  </si>
  <si>
    <t>Aspetto negativo: Promozione di poca trasparenza e informazioni consapevolmente errate</t>
  </si>
  <si>
    <t>Negative aspect: lack of transparency and wilful misinformation</t>
  </si>
  <si>
    <t>Aspecto negativo: manipulación de la información y falta de transparencia</t>
  </si>
  <si>
    <t>Aspecto negativo: Promoção de intransparência e propagação de informação enganosa</t>
  </si>
  <si>
    <t>Fakten zum Unternehmen</t>
  </si>
  <si>
    <t>Fatti sull’azienda</t>
  </si>
  <si>
    <t>Company details</t>
  </si>
  <si>
    <t>Datos de la empresa</t>
  </si>
  <si>
    <t xml:space="preserve">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t>
  </si>
  <si>
    <t>Si prega di compilare i campi con codice colore con i dati per il periodo contabile, di solito l'anno fiscale. Se il periodo contabile supera 1 anno, è anche possibile selezionare un anno fiscale dal periodo contabile. Se non ci sono dati concreti, si prega di fornire stime approssimative, altrimenti il ​​calcolo sarà errato.</t>
  </si>
  <si>
    <t>Fill in the highlighted fields below. Where detailed information is not available, please enter estimates, otherwise the calculation will not be accurate</t>
  </si>
  <si>
    <t>Rellene los campos marcados con color. Si no dispusiera de algunos datos en concreto, estime su valor. Los datos son necesarios para que la hoja de cálculo funcione correctamente.</t>
  </si>
  <si>
    <t>bitte einfügen</t>
  </si>
  <si>
    <t>Inserisca per favore</t>
  </si>
  <si>
    <t>Please enter</t>
  </si>
  <si>
    <t>Escriba</t>
  </si>
  <si>
    <t>Bitte Auswählen</t>
  </si>
  <si>
    <t>Selezioni per favore</t>
  </si>
  <si>
    <t>Please choose</t>
  </si>
  <si>
    <t>Seleccione del catálogo</t>
  </si>
  <si>
    <t>Beschreibung des Gewichtungsmodelles</t>
  </si>
  <si>
    <t>Descrizione del modello di pesatura</t>
  </si>
  <si>
    <t>Description of the weighting model</t>
  </si>
  <si>
    <t>Descripción del método de ponderación</t>
  </si>
  <si>
    <t>Themen</t>
  </si>
  <si>
    <t>Temi</t>
  </si>
  <si>
    <t>Themes</t>
  </si>
  <si>
    <t>Temas</t>
  </si>
  <si>
    <t>Werte ►
Berührungsgruppe ▼</t>
  </si>
  <si>
    <t>Valori ►
Gruppi d‘interesse ▼</t>
  </si>
  <si>
    <t>Values ►
Stakekolders ▼</t>
  </si>
  <si>
    <t>Valores ►
Grupos deinterés ▼</t>
  </si>
  <si>
    <t>Berührungsgruppen &amp; Werte</t>
  </si>
  <si>
    <t>Gruppi d‘interesse &amp; valori</t>
  </si>
  <si>
    <t>Stakekolders &amp; values</t>
  </si>
  <si>
    <t>Grupos de interés ▼</t>
  </si>
  <si>
    <t>Allgemein</t>
  </si>
  <si>
    <t>Generale</t>
  </si>
  <si>
    <t>General</t>
  </si>
  <si>
    <t>Anmerkungen</t>
  </si>
  <si>
    <t>Note</t>
  </si>
  <si>
    <t>Notes</t>
  </si>
  <si>
    <t>Notas aclaratorias</t>
  </si>
  <si>
    <t xml:space="preserve"> (für EPUs skaliert)</t>
  </si>
  <si>
    <t xml:space="preserve"> (scalato per imprese individuali)</t>
  </si>
  <si>
    <t xml:space="preserve"> (scaled for STs)</t>
  </si>
  <si>
    <t>(ponderado para empresas unipersonales)</t>
  </si>
  <si>
    <t xml:space="preserve"> (für EPUs nicht relevant)</t>
  </si>
  <si>
    <t xml:space="preserve"> (non rilevante per imprese di un collaboratore)</t>
  </si>
  <si>
    <t xml:space="preserve"> (not relevant for STs)</t>
  </si>
  <si>
    <t>(no aplica en empresas unipersonales)</t>
  </si>
  <si>
    <t>Anmerkung: Dies ist kein Testat.</t>
  </si>
  <si>
    <t>Annotazione: Questo non è un attestato.</t>
  </si>
  <si>
    <t>Note: This is not a certificate.</t>
  </si>
  <si>
    <t>Nota: esto no es un certificado</t>
  </si>
  <si>
    <t>GEMEINWOHL-MATRIX</t>
  </si>
  <si>
    <t>MATRICE DEL BENE COMUNE</t>
  </si>
  <si>
    <t>COMMON GOOD MATRIX</t>
  </si>
  <si>
    <t>MATRIZ DEL BIEN COMÚN</t>
  </si>
  <si>
    <t xml:space="preserve"> von </t>
  </si>
  <si>
    <t xml:space="preserve"> di </t>
  </si>
  <si>
    <t>of</t>
  </si>
  <si>
    <t>de</t>
  </si>
  <si>
    <t xml:space="preserve"> Punkten</t>
  </si>
  <si>
    <t xml:space="preserve"> punti</t>
  </si>
  <si>
    <t xml:space="preserve"> points</t>
  </si>
  <si>
    <t>Menschenwürde</t>
  </si>
  <si>
    <t>Dignità umana</t>
  </si>
  <si>
    <t>Human dignity</t>
  </si>
  <si>
    <t>Dignidad humana</t>
  </si>
  <si>
    <t>Solidarität &amp; Gerechtigkeit</t>
  </si>
  <si>
    <t>Solidarietà &amp; giustizia</t>
  </si>
  <si>
    <t>Solidarity &amp; social justice</t>
  </si>
  <si>
    <t>Solidaridad y justicia</t>
  </si>
  <si>
    <t>Ökologische Nachhaltigkeit</t>
  </si>
  <si>
    <t>Sostenibilità ambientale</t>
  </si>
  <si>
    <t>Environmental sustainability</t>
  </si>
  <si>
    <t>Sostenibilidad medioambiental</t>
  </si>
  <si>
    <t>Transparenz &amp; Mitentscheidung</t>
  </si>
  <si>
    <t>Trasparenza &amp; cogestione</t>
  </si>
  <si>
    <t>Transparency &amp; co-determination</t>
  </si>
  <si>
    <t>Transparencia y participación democrática</t>
  </si>
  <si>
    <t>Gemeinwohl-Stern für</t>
  </si>
  <si>
    <t>Stella del Bene Comune per</t>
  </si>
  <si>
    <t>Common Good Star for</t>
  </si>
  <si>
    <t>Diagrama de araña de</t>
  </si>
  <si>
    <t>BILANZ-ÜBERSICHT</t>
  </si>
  <si>
    <t>QUADRO DEL BILANCIO</t>
  </si>
  <si>
    <t>BALANCE OVERVIEW</t>
  </si>
  <si>
    <t>VISTA GLOBAL DEL BALANCE</t>
  </si>
  <si>
    <t>MITBESTIMMUNG UND TRANSPARENZ</t>
  </si>
  <si>
    <t>COGESTIONE E TRASPARENZA</t>
  </si>
  <si>
    <t>TRANSPARENCY &amp; CO-DETERMINATION</t>
  </si>
  <si>
    <t>TRANSPARENCIA Y PARTICIPACIÓN DEMOCRÁTICA</t>
  </si>
  <si>
    <t>MENSCHENWÜRDE</t>
  </si>
  <si>
    <t>DIGNITA’ UMANA</t>
  </si>
  <si>
    <t>HUMAN DIGNITY</t>
  </si>
  <si>
    <t>DIGNIDAD HUMANA</t>
  </si>
  <si>
    <t>SOLIDARITÄT</t>
  </si>
  <si>
    <t>SOLIDARIETA’</t>
  </si>
  <si>
    <t>SOLIDARITY</t>
  </si>
  <si>
    <t>SOLIDARIDAD</t>
  </si>
  <si>
    <t>ÖKOLOGISCHE NACHHALTIGKEIT</t>
  </si>
  <si>
    <t>SOSTENIBILITA’ AMBIENTALE</t>
  </si>
  <si>
    <t>ENVIRONMENTAL SUSTAINABILITY</t>
  </si>
  <si>
    <t>SOSTENIBILIDAD MEDIOAMBIENTAL</t>
  </si>
  <si>
    <t>SOZIALE GERECHTIGKEIT</t>
  </si>
  <si>
    <t>GIUSTIZIA SOCIALE</t>
  </si>
  <si>
    <t>SOCIAL JUSTICE</t>
  </si>
  <si>
    <t>JUSTICIA SOCIAL</t>
  </si>
  <si>
    <t>SUMME</t>
  </si>
  <si>
    <t>SOMMA</t>
  </si>
  <si>
    <t>TOTAL</t>
  </si>
  <si>
    <t>(für EPUs skaliert)</t>
  </si>
  <si>
    <t>(valori scalati per l’impresa di 1 persona)</t>
  </si>
  <si>
    <t>(scaled for STs)</t>
  </si>
  <si>
    <t>Dokumentation der Bewertung</t>
  </si>
  <si>
    <t>Documentazione della valutazione</t>
  </si>
  <si>
    <t>Documentation of assessment</t>
  </si>
  <si>
    <t>Documentación de la puntuación</t>
  </si>
  <si>
    <t>Selbsteinschätzung</t>
  </si>
  <si>
    <t>Valutazione propria</t>
  </si>
  <si>
    <t>Self-assessment</t>
  </si>
  <si>
    <t>Autoevaluación</t>
  </si>
  <si>
    <t>Peer-Evaluation</t>
  </si>
  <si>
    <t>Valutazione peer</t>
  </si>
  <si>
    <t>Peer-assessment</t>
  </si>
  <si>
    <t>Evaluación peer</t>
  </si>
  <si>
    <t>Provisorische Bewertung des externen Audits</t>
  </si>
  <si>
    <t>Valutazione esterna bozza</t>
  </si>
  <si>
    <t>Provisional audit assessment</t>
  </si>
  <si>
    <t>Puntuación provisional de la auditoría externa</t>
  </si>
  <si>
    <t>Definitive Bewertung externen Audits /Peer</t>
  </si>
  <si>
    <t>Valutazione definitiva audit esterno/Peer</t>
  </si>
  <si>
    <t>Agreed audit assessment</t>
  </si>
  <si>
    <t>Puntuación definitiva de la auditoría externa/Peer</t>
  </si>
  <si>
    <t>Passwort für den Schutz der Tabellen: „ebc“</t>
  </si>
  <si>
    <t>Password per la protezione delle tabelle: „ebc“</t>
  </si>
  <si>
    <t>Password for EXCEL sheet protection "ebc"</t>
  </si>
  <si>
    <t>Contraseña de esta hoja de cálculo: “ebc”</t>
  </si>
  <si>
    <t>alta</t>
  </si>
  <si>
    <t>media</t>
  </si>
  <si>
    <t>baja</t>
  </si>
  <si>
    <t>non applicabile</t>
  </si>
  <si>
    <t>non applicable</t>
  </si>
  <si>
    <t>no aplica</t>
  </si>
  <si>
    <t xml:space="preserve">Werte-Stern für </t>
  </si>
  <si>
    <t xml:space="preserve">Stella dei valori per </t>
  </si>
  <si>
    <t xml:space="preserve">Values star for </t>
  </si>
  <si>
    <t>Diagrama de araña. Valores de</t>
  </si>
  <si>
    <t xml:space="preserve">Gruppen-Stern für </t>
  </si>
  <si>
    <t xml:space="preserve">Stella dei gruppi per </t>
  </si>
  <si>
    <t xml:space="preserve">Group star for </t>
  </si>
  <si>
    <t>Diagrama de araña. Grupos de interés de</t>
  </si>
  <si>
    <t xml:space="preserve">Themen-Stern für </t>
  </si>
  <si>
    <t xml:space="preserve">Stella dei temi per </t>
  </si>
  <si>
    <t xml:space="preserve">Theme star for </t>
  </si>
  <si>
    <t>Diagrama de araña. Temas de</t>
  </si>
  <si>
    <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t>
  </si>
  <si>
    <t>La stessa distribuzione di punti nella matrice, che è la stessa per tutte le imprese, ha suscitato molto dibattito all'interno del Gruppo di Sviluppo della Matrice (GSM) negli ultimi anni. Anche dall'esterno molte domande e feedback critici ci sono stati portati. Fino ad ora, la distribuzione dei punti sui problemi con l'eccezione di imprese individuali stesse per tutte le aziende - indipendentemente dalle dimensioni dell'azienda, l'industria, e le altre condizioni (di fondo regionale, B2B B2C contro, etc.). Rilevanza e impatto L'impatto sul bene comune, tuttavia, non è indipendente da questi fattori determinanti. Ad esempio, la catena di approvvigionamento di una società commerciale di elettronica (A1-A4) è molto più significativa che per una società mineraria, che a ha effetti molto grandi sul suo impatto ambientale diretto (E3). Il nuovo modello di ponderazione dovrebbe riflettere questa idea e accentuare maggiormente i fattori chiave. Durante il processo, le opinioni sul movimento sono state raccolte attraverso un sondaggio e una chiara preferenza per un nuovo approccio è stata confermata.</t>
  </si>
  <si>
    <t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t>
  </si>
  <si>
    <t>La distribución de la puntuación entre los diferentes temas era igual para cualquier tipo de empresas hasta esta versión. Esta cuestión ha sido debatida en el equipo de desarrollo de la matriz en los últimos años. También hemos recibido muchas preguntas y críticas desde fuera a este respecto. Hasta ahora, la distribución de puntuación era para todas las empresas igual, excepto para empresas unipersonales, independientemente del tamaño de la empresa, el sector y otros factores (región, B2B o B2C, etc.) Sin embargo, la relevancia y el impacto en el Bien Común no son independientes de estas variables. Por ejemplo, si una empresa tiene una cadena de suministro en el sector de la electrónica tendrá mayor relevancia lo relevativo a los temas A1 – A4 que la industria minera, que sin embargo tendrá mucha relevancia en los impactos ambientales directos, tratados en E3. El nuevo método de ponderación tiene en cuenta estas cuestiones y acentúa la importancia de los factores fundamentales. Dentro de este proceso se recopilaron las opiniones del movimiento en una encuesta que dio como resultado una preferencia clara por tratar este tema con un nuevo método.</t>
  </si>
  <si>
    <t xml:space="preserve">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t>
  </si>
  <si>
    <t>Quando ponderate i 3 gruppi di contatto A) Fornitori, B) Investitori e C) Dipendenti, i flussi finanziari verso questi gruppi tattili sono ponderati come segue: A) Spese di approvvigionamento, B) Costi di profitto e di finanziamento C) Retribuzioni. Siamo consapevoli della validità limitata delle risorse monetarie e abbiamo anche idee su come migliorarle in futuro. Allo stesso tempo, queste cifre sono presenti nei conti finanziari delle aziende, quindi facilmente disponibili e soddisfano le esigenze di molte aziende per semplicità. Poiché le tasse e i costi di finanziamento erano inclusi nei costi di approvvigionamento, questi rappresentavano solo il 50% della ponderazione.</t>
  </si>
  <si>
    <t>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t>
  </si>
  <si>
    <t>En la ponderación de los grupos de interés A) Proveedores, B) Inversores y socios financieros y C) Trabajadores se toman como referencia los flujos financieros. Para A) los gastos en compras, para B) beneficios y costes financieros y para C) la remuneración. Somos conscientes de las limitaciones que presenta el basar esta ponderación en valores monetarios, y por eso estamos desarrollando ideas de como puede mejorarse en el futuro. Por otro lado, los datos requeridos se encuentran en los balances financieros de las empresas, con lo que son datos fácilmente disponibles, siendo más sencillo para las empresas. Como en los gastos de proveedores también se encuentran los impuestos y costes financieros, sólo se tiene en cuenta el 50% de este valor a la hora de hacer la ponderación.</t>
  </si>
  <si>
    <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t>
  </si>
  <si>
    <t>A livello di argomenti ci sono anche i criteri che vengono utilizzati per ponderazione, come la dimensione o il settore di una situazione aziendale o di lavoro i diritti dei paesi. Per la definizione del settore, utilizziamo la classificazione internazionale standard internazionale delle Nazioni Unite di tutte le attività economiche (ISIC Rev.4). La classificazione delle taglie si basa sulla definizione UE. La tabella seguente riepiloga i fattori di ponderazione correnti (a partire da maggio 2017).</t>
  </si>
  <si>
    <t>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t>
  </si>
  <si>
    <t xml:space="preserve">En la ponderación de los temas también se tienen en cuenta criterios específicos, como por ejemplo el tamaño, el sector o la región. Para la definición de sectores utilizamos la Clasificación Internacional Industrial Uniforme (ISIC Rev. 4 por sos siglas en inglés) de las naciones unidas. En cuanto al tamaño se utiliza la definición de la UE. La siguiente tabla muestra los factores de ponderación actuales (Mayo 2017) </t>
  </si>
  <si>
    <t>Die Gewichtung dieses Thema’s ist abhängig von den sozialen Risiken der Zulieferbranchen</t>
  </si>
  <si>
    <t>La ponderazione di questo tema dipende dai rischi sociali del settore dei fornitori</t>
  </si>
  <si>
    <t>The weighting of this theme is dependent on the social risks of the supplier's sector.</t>
  </si>
  <si>
    <t>La ponderación de este tema depende de los riesgos sociales en la cadena de suministro.</t>
  </si>
  <si>
    <t>Die Gewichtung dieses Thema’s ist abhängig vom ökologischen Effekt der Branche des Lieferanten (siehe Tabellenblatt “Industry”)</t>
  </si>
  <si>
    <t>La ponderazione di questo tema dipende dall'effetto ecologico dell'impresa del fornitore (vedi foglio "impresa")</t>
  </si>
  <si>
    <t>The weighting of this theme is dependent on the environmental effect of the supplier's sector (see sheet “Industry").</t>
  </si>
  <si>
    <t>La ponderación de este tema depende de los impactos medioambientales del sector al que pertenecen sus proveedores (veáse la hoja “Industry”)</t>
  </si>
  <si>
    <t>Die Gewichtung dieses Thema’s ist abhängig von den Mitbestimmungsrechte in den Ländern der wichtigsten Zulieferbranchen (basierend auf dem ITUC-Index der International Trade Union Confederation)</t>
  </si>
  <si>
    <t>La ponderazione di questo tema dipende dai diritti di partecipazione nei paesi dei settori di approvvigionamento più importanti (in base alla CSI-indice della Confederazione internazionale dei sindacati)</t>
  </si>
  <si>
    <t>The weighting of this theme is dependent on co-determination rights in the countries of the most important supply industries (based on the ILUC index of the International Labour Union).</t>
  </si>
  <si>
    <t>La ponderación de este tema depende de los derechos de participación democrática en los países de los proveedores más importantes (basado en el índice que elabora la confederación sindical internacional ITUC)</t>
  </si>
  <si>
    <t>Die Gewichtung dieses Thema’s ist abhängig von der Relation Umsatz zu Bilanzsumme</t>
  </si>
  <si>
    <t>La ponderazione di questo argomento dipende dalla relazione tra fatturato e totale del bilancio</t>
  </si>
  <si>
    <t>The weighting of this theme depends on the ratio turnover to the balance sheet total.</t>
  </si>
  <si>
    <t>La ponderación de este tema depende del cociente Facturación / Balance (financiero)</t>
  </si>
  <si>
    <t xml:space="preserve">Die Gewichtung dieses Thema’s ist abhängig von der Relation Gewinn zu Umsatz </t>
  </si>
  <si>
    <t>La ponderazione di questo argomento dipende dalla relazione tra utile e fatturato</t>
  </si>
  <si>
    <t>The weighting of this theme depends on the ratio profit to turnover</t>
  </si>
  <si>
    <t xml:space="preserve">La ponderación de este tema depende del cociente beneficio neto / facturación </t>
  </si>
  <si>
    <t>Die Gewichtung dieses Thema’s ist abhängig  Zugängen zum Anlagevermögen und Finanzvermögen in Relation zu der Bilanzsumme</t>
  </si>
  <si>
    <t>La ponderazione di questo tema dipende dalle aggiunte alle attività e alle attività finanziarie in relazione al totale del bilancio</t>
  </si>
  <si>
    <t>The weighting of this theme is dependent on additions to fixed-assets and financial assets in relation to the balance sheet total.</t>
  </si>
  <si>
    <t>La ponderación de este tema depende del cociente de las altas de activos fijos y financieros en relación al balance (financiero)</t>
  </si>
  <si>
    <t>Die Gewichtung dieses Thema’s ist abhängig von der Größe des Unternehmens</t>
  </si>
  <si>
    <t>La ponderazione di questo tema dipende dalle dimensioni dell'impresa</t>
  </si>
  <si>
    <t>The weighting of this theme is dependent on the size of the company.</t>
  </si>
  <si>
    <t>La ponderación de este tema depende del tamaño de la empresa</t>
  </si>
  <si>
    <t>Die Gewichtung dieses Thema’s ist abhängig von der Existenz einer Kantine für die Mehrheit der Mitarbeiter*innen sowie dem (geschätzten) durchschnittlichen Anfahrtsweg zur Arbeit.</t>
  </si>
  <si>
    <t>La ponderazione di questo tema dipende dall'esistenza di una mensa per la maggior parte dei dipendenti e dal viaggio medio (stimato) fino al lavoro.</t>
  </si>
  <si>
    <t xml:space="preserve">The weighting of this theme is dependent on the existence of a canteen for most of the employees as well as an (estimated) average commute to work. </t>
  </si>
  <si>
    <t>La ponderación de este tema depende de si la empresa tiene cantina a disposición de la mayoría de los trabajadores así como del trayecto medio (estimado) al puesto de trabajo.</t>
  </si>
  <si>
    <t>Die Gewichtung dieses Thema’s ist abhängig von der Größe des Unternehmens sowie von den Mitbestimmungsrechte in den Ländern der wichtigsten Standorte (basierend auf dem ITUC-Index der International Labour Union)</t>
  </si>
  <si>
    <t>La ponderazione di questo tema dipende dalle dimensioni dell'impresa e dai diritti di partecipazione nei paesi delle sedi più importanti (in base all'indice ITUC dell'International Labour Union)</t>
  </si>
  <si>
    <t>The weighting of this theme is dependent on company size and co-determination rights in the countries of the most important supply industries (based on the ILUC index of the International Labour Union).</t>
  </si>
  <si>
    <t>La ponderación de este tema depende tanto del tamaño de la empresa como de los derechos de participación democrática en los países más importantes donde se encuentra la empresa presente (basado en el índice que elabora la confederación internacional sindical ITUC)</t>
  </si>
  <si>
    <t xml:space="preserve">Die Gewichtung dieses Thema’s ist abhängig von der Branche </t>
  </si>
  <si>
    <t>La ponderazione di questo tema dipende dal settore</t>
  </si>
  <si>
    <t>The weighting of this theme depends on the industry sector.</t>
  </si>
  <si>
    <t>La ponderación de este tema depende del sector de la empresa</t>
  </si>
  <si>
    <t>Die Gewichtung dieses Thema’s ist abhängig davon, ob Kund*innen in erster Linie Private oder Unternehmen sind</t>
  </si>
  <si>
    <t>La ponderazione di questo tema dipende dal fatto che i clienti siano principalmente privati o imprese</t>
  </si>
  <si>
    <t>The weighting of this theme depends on whether customers are primarily individuals or companies.</t>
  </si>
  <si>
    <t>La ponderación de este tema depende de si la empresa es principalmente B2B o B2C</t>
  </si>
  <si>
    <t>Die Gewichtung dieses Thema’s ist abhängig von der Umsatzrentabilität (Gewinn/Umsatz)</t>
  </si>
  <si>
    <t>La ponderazione di questo tema dipende dal rendimento delle vendite (profitti / fatturato)</t>
  </si>
  <si>
    <t>The weighting of this theme is dependent on the return on sales (profit/turnover).</t>
  </si>
  <si>
    <t>La ponderación de este tema depende de la rentabilidad de la empresa entendida como Beneficios / Facturación</t>
  </si>
  <si>
    <t>Die Gewichtung dieses Thenma’s ist abhängig von der Branche</t>
  </si>
  <si>
    <t>Die Gewichtung dieses Thema’s ist abhängig von der Größe sowie der Branche des Unternehmens.</t>
  </si>
  <si>
    <t>La ponderazione di questo tema dipende dalle dimensioni sia del settore che dell’impresa.</t>
  </si>
  <si>
    <t>The weighting of this theme depends on the company size and the industry sector.</t>
  </si>
  <si>
    <t>La ponderación de este tema depende tanto del tamaño de la empresa como del sector.</t>
  </si>
  <si>
    <t>A - Landwirtschaft, Forstwirtschaft und Fischerei</t>
  </si>
  <si>
    <t>A-AGRICOLTURA, SILVICOLTURA E PESCA</t>
  </si>
  <si>
    <t>A - agriculture, forestry management, fishing industry</t>
  </si>
  <si>
    <t>A – Agricultura, silvicultura y pesca</t>
  </si>
  <si>
    <t>B - Bergbau und Gewinnung von Steinen und Erden</t>
  </si>
  <si>
    <t>B-ATTIVITÀ ESTRATTIVA</t>
  </si>
  <si>
    <t>B - Mining and quarrying</t>
  </si>
  <si>
    <t>B – Explotación de minas y canteras</t>
  </si>
  <si>
    <t>C - Verarbeitendes Gewerbe (nicht weiter spezifiziert)</t>
  </si>
  <si>
    <t>C-ATTIVITÀ MANIFATTURIERE</t>
  </si>
  <si>
    <t>C - Manufacturing industries (not further specified)</t>
  </si>
  <si>
    <t>C – Indutrias manufactureras</t>
  </si>
  <si>
    <t>Ca - Produktion von Lebensmittel, Getränken und Tabak (C10,C11,C12)</t>
  </si>
  <si>
    <t>Ca-Prodotti di alimenti e bevande</t>
  </si>
  <si>
    <t>Ca - Food production, drinks and tobacco (C10, C11, C12)</t>
  </si>
  <si>
    <t>Ca – Industria de alimentación, bebidas y tabaco (C10, C11, C12)</t>
  </si>
  <si>
    <t>Cb - Produktion von Textilien, Kleidung, Leder und Produkten hieraus (C13,C14,C15)</t>
  </si>
  <si>
    <t>Cb-Prodotti di tessuti, vestiti, cuoio</t>
  </si>
  <si>
    <t>Cb - Textile production, clothing, leather and leather products (C13, C14, C15)</t>
  </si>
  <si>
    <t>Cb – Industria textil, prendas de vestir, cuero y calzado (C13, C14, C15)</t>
  </si>
  <si>
    <t>Cc - Produktion von Holz- und Papierprodukten sowie Drucksorten (C16,C17,C18)</t>
  </si>
  <si>
    <t>Cc-Prodotti di legno e carta (C16,C17,C18)</t>
  </si>
  <si>
    <t>Cc - Paper and forest products, also printed matter (C16, C17, C18)</t>
  </si>
  <si>
    <t>Cc – Industria de la madera y el corcho; cestería y espartería; papel; artes gráficas y reproducción de soportes grabados</t>
  </si>
  <si>
    <t>Cd - Produktion von petrochemischen Produkte und Kunststoffen (C19, C20;C22)</t>
  </si>
  <si>
    <t>Cd-Prodotti petrol-sintetici e plastica (C19, C20;C22)</t>
  </si>
  <si>
    <t>Cd - Production of petrochemical products and plastics (C19, C20;C22)</t>
  </si>
  <si>
    <t>Cd – Industria química; coquerías y refino de petróleo; fabricación de productos de caucho y plásticos (C19, C20, C22)</t>
  </si>
  <si>
    <t>Ce - Produktion von pharmazeutischen Produktion und Präparaten (C21)</t>
  </si>
  <si>
    <t>Ce-Prodotti farmaceutici e medicinali (C21)</t>
  </si>
  <si>
    <t>Ce - Pharmaceutical products and preparations (C21)</t>
  </si>
  <si>
    <t>Ce – Fabricación de productos farmacéuticos (C21)</t>
  </si>
  <si>
    <t>Cf - Produktion nicht metallischer Mineralstoffe (C23)</t>
  </si>
  <si>
    <t>Cf-Prodotti non metallici e minerali (C23)</t>
  </si>
  <si>
    <t>Cf - Production of non-metallic minerals (C23)</t>
  </si>
  <si>
    <t>Cf – Fabricación de otros productos minerales no metálicos (C23)</t>
  </si>
  <si>
    <t>Cg - Produktion von Metallen und metallischen Produkten (exkl. Maschinen und Geräten) (C24,C25)</t>
  </si>
  <si>
    <t>Cg-Prodotti di metalli</t>
  </si>
  <si>
    <t>Cg - Production of metal and metallic products (excl. machines and equipment) (C24, C25)</t>
  </si>
  <si>
    <t>Cg – Metalurgia; fabricación de productos de hierro, acero y ferroaleaciones; fabricación de productos metálicos, excepto maquinaria (C24, C25)</t>
  </si>
  <si>
    <t>Ch - Produktion von elektronischen, optischen und sonstigen Geräten und Bauteilen sowie Computer (C26,C27,C28)</t>
  </si>
  <si>
    <t>Ch-Prodotti elettronici ed elettrici (C26,C27,C28)</t>
  </si>
  <si>
    <t>Ch - Production of electronic equipment, instruments and components as well as computers (C26, C27, C28)</t>
  </si>
  <si>
    <t>Ch – Fabricación de productos informáticos, electrónicos y ópticos; fabricación de material y equipo eléctrico; fabricación de maquinaria y equipo (C26, C27, C28)</t>
  </si>
  <si>
    <t xml:space="preserve">D - Strom-, Gas-, Dampfversorgung und Kühlung </t>
  </si>
  <si>
    <t>D-FORNITURA DI ENERGIA ELETTRICA, GAS, VAPORE E ARIA CONDIZIONATA</t>
  </si>
  <si>
    <t>D - Electric, Gas, Steam and Refrigeration</t>
  </si>
  <si>
    <t>D – Suministro de electricidad, gas, vapor y aire acondicionado</t>
  </si>
  <si>
    <t>E - Wasserversorgung, Abfallwirtschaft</t>
  </si>
  <si>
    <t>E-FORNITURA DI ACQUA; RETI FOGNARIE, ATTIVITÀ DI TRATTAMENTO DEI RIFIUTI E RISANAMENTO</t>
  </si>
  <si>
    <t>E - Water supply, waste management</t>
  </si>
  <si>
    <t>E – Suministro de agua, alcantarillado, gestión de desechos y actividades de saneamiento</t>
  </si>
  <si>
    <t>F - Baugewerbe</t>
  </si>
  <si>
    <t>F-Costruzioni</t>
  </si>
  <si>
    <t>F - Construction industry</t>
  </si>
  <si>
    <t>F – Construcción</t>
  </si>
  <si>
    <t>G - Groß- und Einzelhandel sowie Werkstätten für Kraftfahrzeuge (Anmerkung: Groß- und Einzelhandel nicht auf KFZ beschränkt)</t>
  </si>
  <si>
    <t>G-Commercio all'ingrosso e al dettaglio, officine</t>
  </si>
  <si>
    <t>G - Wholesale and retail</t>
  </si>
  <si>
    <t>G – Comercio al por mayor y al por menor, reparación de los vehículos de motor y de las motocicletas</t>
  </si>
  <si>
    <t>H - Verkehr und Lagerhaltung</t>
  </si>
  <si>
    <t>H-TRASPORTO E MAGAZZINAGGIO</t>
  </si>
  <si>
    <t>H - Transport and warehousing</t>
  </si>
  <si>
    <t>H – Transporte y almacenamiento</t>
  </si>
  <si>
    <t>I - Beherbergung und Gastronomie</t>
  </si>
  <si>
    <t>I-SERVIZI DI ALLOGGIO E DI RISTORAZIONE</t>
  </si>
  <si>
    <t>I - Accommodation and catering</t>
  </si>
  <si>
    <t>I – Alojamiento y servicios de comida</t>
  </si>
  <si>
    <t>J - Information und Kommunikation</t>
  </si>
  <si>
    <t>J-SERVIZI DI INFORMAZIONE E COMUNICAZIONE</t>
  </si>
  <si>
    <t>J - Information and Communication</t>
  </si>
  <si>
    <t>J – Información y comunicación</t>
  </si>
  <si>
    <t>K - Kredit- und Finanzwesen</t>
  </si>
  <si>
    <t>K-ATTIVITÀ FINANZIARIE E ASSICURATIVE</t>
  </si>
  <si>
    <t>K - Financial services</t>
  </si>
  <si>
    <t>K – Actividades financieras y de seguros</t>
  </si>
  <si>
    <t>L - (Immobilienwirtschaft</t>
  </si>
  <si>
    <t>L-ATTIVITÀ IMMOBILIARI</t>
  </si>
  <si>
    <t>L - Real estate</t>
  </si>
  <si>
    <t>L – Actividades inmobiliarias</t>
  </si>
  <si>
    <t>M - Freiberufliche, wissenschaftliche und technische Dienstleistungen</t>
  </si>
  <si>
    <t>M-ATTIVITÀ PROFESSIONALI, SCIENTIFICHE E TECNICHE</t>
  </si>
  <si>
    <t>M - Professional, technical and scientific services</t>
  </si>
  <si>
    <t>M – Actividades profesionales, científicas y técnicas</t>
  </si>
  <si>
    <t>N - Administrative und unterstützende Dienstleistungen</t>
  </si>
  <si>
    <t>N-ATTIVITÀ AMMINISTRATIVE E DI SERVIZI DI SUPPORTO</t>
  </si>
  <si>
    <t>N - Administrative and support services</t>
  </si>
  <si>
    <t>N – Actividades administrativas y servicios de apoyo</t>
  </si>
  <si>
    <t>O - Öffentliche Verwaltung; Verteidigung; Sozialversicherungswesen</t>
  </si>
  <si>
    <t>O-AMMINISTRAZIONE PUBBLICA E DIFESA; ASSICURAZIONE SOCIALE OBBLIGATORIA</t>
  </si>
  <si>
    <t>O - Public administration; defence; social security</t>
  </si>
  <si>
    <t>O – Administración pública y defensa, planes de seguridad social de afiliación obligatoria</t>
  </si>
  <si>
    <t>P-ISTRUZIONE</t>
  </si>
  <si>
    <t>P - Education</t>
  </si>
  <si>
    <t>P – Enseñanza</t>
  </si>
  <si>
    <t>Q - Gesundheit und Sozialarbeit</t>
  </si>
  <si>
    <t>Q-SANITÀ E ASSISTENZA SOCIALE</t>
  </si>
  <si>
    <t>Q - Health and social work</t>
  </si>
  <si>
    <t>Q – Servicios sociales y relacionados con la salud humana</t>
  </si>
  <si>
    <t>R - Kunst, Unterhaltung und Erholung</t>
  </si>
  <si>
    <t>R-ATTIVITA' ARTISTICHE, DI INTRATTENIMENTO E DIVERTIMENTO</t>
  </si>
  <si>
    <t>R - Art, education and leisure</t>
  </si>
  <si>
    <t>R – Artes, entretenimiento y recreación</t>
  </si>
  <si>
    <t>S - Andere Dienstleistungen</t>
  </si>
  <si>
    <t>S-ALTRE ATTIVITÀ DI SERVIZI</t>
  </si>
  <si>
    <t>S - Other services</t>
  </si>
  <si>
    <t>S – Otras actividades de servicio</t>
  </si>
  <si>
    <t>T - Private Haushalte</t>
  </si>
  <si>
    <t>T-convivenze, comunità famigliari e persone singole, condimini, amministratori di condomini</t>
  </si>
  <si>
    <t>T – Actividades de los hogares en calidad de empleadores, actividades indiferenciadas de producción de bienes y servicios de los hogares para uso propio</t>
  </si>
  <si>
    <t>U - Exterritoriale Organisationen und Körperschaften</t>
  </si>
  <si>
    <t xml:space="preserve">U-ATTIVITÀ DI ORGANIZZAZIONI E ORGANISMI EXTRATERRITORIALI </t>
  </si>
  <si>
    <t>U - Extraterritorial organisations and bodies</t>
  </si>
  <si>
    <t>U – Actividades de organizaciones y órganos extraterritoriales</t>
  </si>
  <si>
    <t>Gesamt-Ausgaben an Lieferanten (in Euro):</t>
  </si>
  <si>
    <t>Spese totali per i fornitori (in euro):</t>
  </si>
  <si>
    <t>Total purchases from suppliers (in Euros):</t>
  </si>
  <si>
    <t>Gastos totales en proveedores (en Euros):</t>
  </si>
  <si>
    <t xml:space="preserve">Tragen Sie nachstehend, bitte die 5 wichtigstenBranchen ein, aus denen Sie Produkte/Dienstleistungen beziehen. </t>
  </si>
  <si>
    <t>Inserisci sotto i 5 settori più importanti da cui acquisti prodotti / servizi.</t>
  </si>
  <si>
    <t>Enter the 5 most important industry sectors whose products or services you use.</t>
  </si>
  <si>
    <t>Introduzca los 5 secoters más importantes a los que realiza compras</t>
  </si>
  <si>
    <t>Branche</t>
  </si>
  <si>
    <t>Settore</t>
  </si>
  <si>
    <t>Industry sector</t>
  </si>
  <si>
    <t>Sector</t>
  </si>
  <si>
    <t>Beschreibung</t>
  </si>
  <si>
    <t>Description</t>
  </si>
  <si>
    <t>Descripción</t>
  </si>
  <si>
    <t>regionale Herkunft</t>
  </si>
  <si>
    <t>Provenienza regionale</t>
  </si>
  <si>
    <t>Region of origin</t>
  </si>
  <si>
    <t>Región de origen</t>
  </si>
  <si>
    <t>Ausgaben</t>
  </si>
  <si>
    <t>Spese</t>
  </si>
  <si>
    <t>Costs</t>
  </si>
  <si>
    <t>Gastos</t>
  </si>
  <si>
    <t>Überwiegende Herkunft restlicher Lieferanten</t>
  </si>
  <si>
    <t>Provenienza principale degli altri fornitori</t>
  </si>
  <si>
    <t>Main origin of the other suppliers</t>
  </si>
  <si>
    <t>Región de origen principal del resto de proveedores</t>
  </si>
  <si>
    <t>Gewinn (EBIT):</t>
  </si>
  <si>
    <t>Profitto (EBIT):</t>
  </si>
  <si>
    <t>Profit</t>
  </si>
  <si>
    <t>Beneficios (EBIT)</t>
  </si>
  <si>
    <t>Finanzierungskosten</t>
  </si>
  <si>
    <t>oneri finanziari</t>
  </si>
  <si>
    <t>Financing costs</t>
  </si>
  <si>
    <t>Costes financieros</t>
  </si>
  <si>
    <t>Erträge aus Finanzanlagen</t>
  </si>
  <si>
    <t>Proventi da attività finanziarie</t>
  </si>
  <si>
    <t>Income from financial investments</t>
  </si>
  <si>
    <t>Ingresos financieros</t>
  </si>
  <si>
    <t>Bilanzaktiva</t>
  </si>
  <si>
    <t>attività stato patrimoniale</t>
  </si>
  <si>
    <t>Total assets</t>
  </si>
  <si>
    <t>Activo (balance financiero)</t>
  </si>
  <si>
    <t xml:space="preserve">Zugänge zum Anlagevermögen </t>
  </si>
  <si>
    <t>Aggiunte alle immobilizzazioni</t>
  </si>
  <si>
    <t>Additions to fixed-assets</t>
  </si>
  <si>
    <t>Altas de activos fijos</t>
  </si>
  <si>
    <t>Finanzanlagen und Barguthaben</t>
  </si>
  <si>
    <t>Attività finanziarie e saldo di cassa</t>
  </si>
  <si>
    <t>Financial assets and cash balance</t>
  </si>
  <si>
    <t>Activos financieros y saldos de caja</t>
  </si>
  <si>
    <t xml:space="preserve">Anzahl der Mitarbeitenden (in Vollzeitäquivalenten): </t>
  </si>
  <si>
    <t>Numero di collaboratori (in equivalenti a tempo pieno):</t>
  </si>
  <si>
    <t>Number of employees (full time equivalents)</t>
  </si>
  <si>
    <t>Cantidad de trabajadores (equivalentes a jornada completa)</t>
  </si>
  <si>
    <t>Personalkosten (brutto ohne Dienstgeberanteil)</t>
  </si>
  <si>
    <t>Costi del personale (lordi senza contributo del datore di lavoro)</t>
  </si>
  <si>
    <t>Staff costs (gross without employer contribution)</t>
  </si>
  <si>
    <t>Gastos de personal</t>
  </si>
  <si>
    <t>Tragen Sie bitte nachstehend jene drei Länder und Regionen ein, wo die meisten Mitarbeitenden arbeiten</t>
  </si>
  <si>
    <t>Inserisca sotto i tre paesi e le regioni in cui lavora la maggior parte dei collaboratori</t>
  </si>
  <si>
    <t>Enter the 3 countries and regions where most of the staff are</t>
  </si>
  <si>
    <t>Introduzca los 3 países y regiones de los que la mayoría de trabajadores provienen</t>
  </si>
  <si>
    <t>Land &amp; Region</t>
  </si>
  <si>
    <t>Paese e Regione</t>
  </si>
  <si>
    <t>Country and region</t>
  </si>
  <si>
    <t>País y región</t>
  </si>
  <si>
    <t xml:space="preserve">Anteil in % </t>
  </si>
  <si>
    <t>Percentulale %</t>
  </si>
  <si>
    <t>Amount in %</t>
  </si>
  <si>
    <t>Porcentaje %</t>
  </si>
  <si>
    <t>Durchschnittlicher Arbeitsweg der Mitarbeitenden (in km):</t>
  </si>
  <si>
    <t>Distanza media al posto di lavoro dei collaboratori (in km):</t>
  </si>
  <si>
    <t>Average journey to work for staff (in km)</t>
  </si>
  <si>
    <t>Trayecto medio de los trabajadores a su lugar de trabajo (km):</t>
  </si>
  <si>
    <t>Gibt es eine Kantine für die Mehrheit der Mitarbeitenden?</t>
  </si>
  <si>
    <t>C'è una mensa per la maggior parte dei collaboratori?</t>
  </si>
  <si>
    <t>Is there a canteen for the majority of staff?</t>
  </si>
  <si>
    <t>¿Hay cantina para la mayoría de los trabajadores?</t>
  </si>
  <si>
    <t>Umsatz (in Euro)</t>
  </si>
  <si>
    <t>fatturato (in euro)</t>
  </si>
  <si>
    <t>Turnover (in Euros)</t>
  </si>
  <si>
    <t>Facturación (en euros)</t>
  </si>
  <si>
    <t>Haben Sie nahezu ausschließlich Unternehmen als Kunden</t>
  </si>
  <si>
    <t>Ha aziende quasi esclusivamente come clienti?</t>
  </si>
  <si>
    <t>Are your customers mainly other companies?</t>
  </si>
  <si>
    <t>¿Sus clientes son en su mayoría empresas?</t>
  </si>
  <si>
    <t>Tragen Sie nachstehend, bitte die 3 wichtigsten Branchen ein, in denen Ihr Unternehmen tätig ist, inklusive ungefährem Umsatzanteil</t>
  </si>
  <si>
    <t>Di seguito, descriva i 3 settori più importanti in cui opera la Sua azienda, inclusa la quota di fatturato approssimativa</t>
  </si>
  <si>
    <t>Enter the 3 most important industry sectors which your company is active in, including a rough share of turnover</t>
  </si>
  <si>
    <t>Introduzca los 3 sectores más importantes en los que opera su empresa incluyendo la facturación aprox. correspondiente</t>
  </si>
  <si>
    <t>descrizione</t>
  </si>
  <si>
    <t>% Anteil am Gesamtumsatz</t>
  </si>
  <si>
    <t>Quota % al fatturato</t>
  </si>
  <si>
    <t>% Amount of total turnover</t>
  </si>
  <si>
    <t>% sobre la facturación total</t>
  </si>
  <si>
    <t xml:space="preserve">Unternehmensgrösse </t>
  </si>
  <si>
    <t>dimensioni dell'azienda</t>
  </si>
  <si>
    <t>Company size</t>
  </si>
  <si>
    <t>Tamaño de la empresa</t>
  </si>
  <si>
    <t>Kleinstunternehmen</t>
  </si>
  <si>
    <t>microimpresa</t>
  </si>
  <si>
    <t>Micro-business</t>
  </si>
  <si>
    <t>Microempresa</t>
  </si>
  <si>
    <t>Kleinunternehmen</t>
  </si>
  <si>
    <t>Piccola impresa</t>
  </si>
  <si>
    <t>Small business</t>
  </si>
  <si>
    <t>Pequeña empresa</t>
  </si>
  <si>
    <t>Mittleres Unternehmen</t>
  </si>
  <si>
    <t>Impresa media</t>
  </si>
  <si>
    <t>Medium business</t>
  </si>
  <si>
    <t>Mediana empresa</t>
  </si>
  <si>
    <t>Grossunternehmen</t>
  </si>
  <si>
    <t>Grande impresa</t>
  </si>
  <si>
    <t>Large business</t>
  </si>
  <si>
    <t>Gran empresa</t>
  </si>
  <si>
    <t xml:space="preserve">In diesem Tabellenblatt wird die Gemeinwohlbilanz berechnet. </t>
  </si>
  <si>
    <t>In questo foglio viene calcolato il punteggio del bilancio del bene comune.</t>
  </si>
  <si>
    <t>Introduzca descripción de la tabla: en esta hoja se calcula la puntuación del balance del Bien Común.</t>
  </si>
  <si>
    <t>Skalenwert eingeben: Wert muss im Bereich von 0 bis 10 liegen.</t>
  </si>
  <si>
    <t xml:space="preserve">Inserisca un valore di scala da 0 a 10 </t>
  </si>
  <si>
    <t>Introduzca puntuación. El valor debe encontrarse entre 0 y 10.</t>
  </si>
  <si>
    <t>Negativpunkte eingeben: Werte müssen im Bereich von -200 bis 0 liegen.</t>
  </si>
  <si>
    <t xml:space="preserve">Inserisca un punteggio negativo da 0 a -200 </t>
  </si>
  <si>
    <t>Introduzca puntuación negativa. El valor debe encontrarse entre -200 y 0.</t>
  </si>
  <si>
    <t>globaler Durchschnitt</t>
  </si>
  <si>
    <t>media globale</t>
  </si>
  <si>
    <t>Media global</t>
  </si>
  <si>
    <t>Bitte auswählen</t>
  </si>
  <si>
    <t>Seleccione el país</t>
  </si>
  <si>
    <t>Afrika</t>
  </si>
  <si>
    <t>África</t>
  </si>
  <si>
    <t>Nord-Afrika und Mittlere Osten</t>
  </si>
  <si>
    <t>Nord-Africa e Medio Oriente</t>
  </si>
  <si>
    <t>Norte de África y Oriente Medio</t>
  </si>
  <si>
    <t>Latein-Amerika</t>
  </si>
  <si>
    <t>Latino-America</t>
  </si>
  <si>
    <t>Latinoamérica</t>
  </si>
  <si>
    <t>Nord-Amerika &amp; Ozeanien</t>
  </si>
  <si>
    <t>Nord-America e Ozeania</t>
  </si>
  <si>
    <t>Norteamérica y Oceanía</t>
  </si>
  <si>
    <t>Asien</t>
  </si>
  <si>
    <t>Europa</t>
  </si>
  <si>
    <t>.aw</t>
  </si>
  <si>
    <t>AW</t>
  </si>
  <si>
    <t xml:space="preserve">Aruba </t>
  </si>
  <si>
    <t>.af</t>
  </si>
  <si>
    <t>AF</t>
  </si>
  <si>
    <t xml:space="preserve">Afghanistan </t>
  </si>
  <si>
    <t>Afganistán</t>
  </si>
  <si>
    <t>.ao</t>
  </si>
  <si>
    <t>AO</t>
  </si>
  <si>
    <t xml:space="preserve">Angola </t>
  </si>
  <si>
    <t>.al</t>
  </si>
  <si>
    <t>AL</t>
  </si>
  <si>
    <t>Albanien</t>
  </si>
  <si>
    <t xml:space="preserve">Albania </t>
  </si>
  <si>
    <t>Albanie</t>
  </si>
  <si>
    <t>.ad</t>
  </si>
  <si>
    <t>AD</t>
  </si>
  <si>
    <t xml:space="preserve">Andorra </t>
  </si>
  <si>
    <t>Andorre</t>
  </si>
  <si>
    <t>.ae</t>
  </si>
  <si>
    <t>AE</t>
  </si>
  <si>
    <t>Vereinigte Arabische Emirate</t>
  </si>
  <si>
    <t xml:space="preserve">Emirati Arabi Uniti </t>
  </si>
  <si>
    <t xml:space="preserve">United Arab Emirates </t>
  </si>
  <si>
    <t>Emiratos Árabes Unidos</t>
  </si>
  <si>
    <t>Émirats Arabes Unis</t>
  </si>
  <si>
    <t>.ar</t>
  </si>
  <si>
    <t>AR</t>
  </si>
  <si>
    <t>Argentinien</t>
  </si>
  <si>
    <t xml:space="preserve">Argentina </t>
  </si>
  <si>
    <t>Argentine</t>
  </si>
  <si>
    <t>.am</t>
  </si>
  <si>
    <t>AM</t>
  </si>
  <si>
    <t>Armenien</t>
  </si>
  <si>
    <t xml:space="preserve">Armenia </t>
  </si>
  <si>
    <t>Arménie</t>
  </si>
  <si>
    <t>.as</t>
  </si>
  <si>
    <t>AS</t>
  </si>
  <si>
    <t>Amerikanisch-Samoa</t>
  </si>
  <si>
    <t xml:space="preserve">Samoa americane </t>
  </si>
  <si>
    <t xml:space="preserve">American Samoa </t>
  </si>
  <si>
    <t>Samoa Americana</t>
  </si>
  <si>
    <t>Samoa américaines</t>
  </si>
  <si>
    <t>.ag</t>
  </si>
  <si>
    <t>AG</t>
  </si>
  <si>
    <t>Antigua und Barbuda</t>
  </si>
  <si>
    <t xml:space="preserve">Antigua e Barbuda </t>
  </si>
  <si>
    <t xml:space="preserve">Antigua and Barbuda </t>
  </si>
  <si>
    <t>Antigua y Barbuda</t>
  </si>
  <si>
    <t>Antigua-et-Barbuda</t>
  </si>
  <si>
    <t>.au</t>
  </si>
  <si>
    <t>AU</t>
  </si>
  <si>
    <t>Australien</t>
  </si>
  <si>
    <t xml:space="preserve">Australia </t>
  </si>
  <si>
    <t>Australie</t>
  </si>
  <si>
    <t>.at</t>
  </si>
  <si>
    <t>AT</t>
  </si>
  <si>
    <t>Österreich</t>
  </si>
  <si>
    <t xml:space="preserve">Austria </t>
  </si>
  <si>
    <t>Autriche</t>
  </si>
  <si>
    <t>.az</t>
  </si>
  <si>
    <t>AZ</t>
  </si>
  <si>
    <t>Aserbaidschan</t>
  </si>
  <si>
    <t xml:space="preserve">Azerbaigian </t>
  </si>
  <si>
    <t xml:space="preserve">Azerbaijan </t>
  </si>
  <si>
    <t>Azerbaiyán</t>
  </si>
  <si>
    <t>Azerbaïdjan</t>
  </si>
  <si>
    <t>.bi</t>
  </si>
  <si>
    <t>BI</t>
  </si>
  <si>
    <t xml:space="preserve">Burundi </t>
  </si>
  <si>
    <t>.be</t>
  </si>
  <si>
    <t>BE</t>
  </si>
  <si>
    <t>Belgien</t>
  </si>
  <si>
    <t xml:space="preserve">Belgio </t>
  </si>
  <si>
    <t xml:space="preserve">Belgium </t>
  </si>
  <si>
    <t>Bélgica</t>
  </si>
  <si>
    <t>Belgique</t>
  </si>
  <si>
    <t>.bj</t>
  </si>
  <si>
    <t>BJ</t>
  </si>
  <si>
    <t xml:space="preserve">Benin </t>
  </si>
  <si>
    <t>Benín</t>
  </si>
  <si>
    <t>Bénin</t>
  </si>
  <si>
    <t>.bf</t>
  </si>
  <si>
    <t>BF</t>
  </si>
  <si>
    <t xml:space="preserve">Burkina Faso </t>
  </si>
  <si>
    <t>.bd</t>
  </si>
  <si>
    <t>BD</t>
  </si>
  <si>
    <t>Bangladesch</t>
  </si>
  <si>
    <t xml:space="preserve">Bangladesh </t>
  </si>
  <si>
    <t>Bangladés</t>
  </si>
  <si>
    <t>.bg</t>
  </si>
  <si>
    <t>BG</t>
  </si>
  <si>
    <t>Bulgarien</t>
  </si>
  <si>
    <t xml:space="preserve">Bulgaria </t>
  </si>
  <si>
    <t>Bulgarie</t>
  </si>
  <si>
    <t>.bh</t>
  </si>
  <si>
    <t>BH</t>
  </si>
  <si>
    <t xml:space="preserve">Bahrain </t>
  </si>
  <si>
    <t>Baréin</t>
  </si>
  <si>
    <t>Bahreïn</t>
  </si>
  <si>
    <t>.bs</t>
  </si>
  <si>
    <t>BS</t>
  </si>
  <si>
    <t>Bahamas</t>
  </si>
  <si>
    <t xml:space="preserve">Bahamas </t>
  </si>
  <si>
    <t>.ba</t>
  </si>
  <si>
    <t>BA</t>
  </si>
  <si>
    <t>Bosnien und Herzegowina</t>
  </si>
  <si>
    <t xml:space="preserve">Bosnia ed Erzegovina </t>
  </si>
  <si>
    <t xml:space="preserve">Bosnia and Herzegovina </t>
  </si>
  <si>
    <t>Bosnia y Herzegovina</t>
  </si>
  <si>
    <t>Bosnie-Herzégovine</t>
  </si>
  <si>
    <t>.by</t>
  </si>
  <si>
    <t>BY</t>
  </si>
  <si>
    <t xml:space="preserve">Bielorussia </t>
  </si>
  <si>
    <t xml:space="preserve">Belarus </t>
  </si>
  <si>
    <t>Bielorrusia</t>
  </si>
  <si>
    <t>Biélorussie</t>
  </si>
  <si>
    <t>.bz</t>
  </si>
  <si>
    <t>BZ</t>
  </si>
  <si>
    <t xml:space="preserve">Belize </t>
  </si>
  <si>
    <t>Belice</t>
  </si>
  <si>
    <t>.bm</t>
  </si>
  <si>
    <t>BM</t>
  </si>
  <si>
    <t xml:space="preserve">Bermuda </t>
  </si>
  <si>
    <t>Bermudas</t>
  </si>
  <si>
    <t>Bermudes</t>
  </si>
  <si>
    <t>.bo</t>
  </si>
  <si>
    <t>BO</t>
  </si>
  <si>
    <t>Bolivien</t>
  </si>
  <si>
    <t xml:space="preserve">Bolivia </t>
  </si>
  <si>
    <t xml:space="preserve">Bolivia, Plurinational State of </t>
  </si>
  <si>
    <t>Bolivie</t>
  </si>
  <si>
    <t>.br</t>
  </si>
  <si>
    <t>BR</t>
  </si>
  <si>
    <t>Brasilien</t>
  </si>
  <si>
    <t xml:space="preserve">Brasile </t>
  </si>
  <si>
    <t xml:space="preserve">Brazil </t>
  </si>
  <si>
    <t>Brasil</t>
  </si>
  <si>
    <t>Brésil</t>
  </si>
  <si>
    <t>.bb</t>
  </si>
  <si>
    <t>BB</t>
  </si>
  <si>
    <t xml:space="preserve">Barbados </t>
  </si>
  <si>
    <t>Barbades</t>
  </si>
  <si>
    <t>.bn</t>
  </si>
  <si>
    <t>BN</t>
  </si>
  <si>
    <t xml:space="preserve">Brunei </t>
  </si>
  <si>
    <t xml:space="preserve">Brunei Darussalam </t>
  </si>
  <si>
    <t>Brunéi</t>
  </si>
  <si>
    <t>Brunei</t>
  </si>
  <si>
    <t>.bt</t>
  </si>
  <si>
    <t>BT</t>
  </si>
  <si>
    <t xml:space="preserve">Bhutan </t>
  </si>
  <si>
    <t>Bután</t>
  </si>
  <si>
    <t>Bhoutan</t>
  </si>
  <si>
    <t>.bw</t>
  </si>
  <si>
    <t>BW</t>
  </si>
  <si>
    <t xml:space="preserve">Botswana </t>
  </si>
  <si>
    <t>Botsuana</t>
  </si>
  <si>
    <t>.cf</t>
  </si>
  <si>
    <t>CF</t>
  </si>
  <si>
    <t>Zentralafrikanische Republik</t>
  </si>
  <si>
    <t xml:space="preserve">Repubblica Centrafricana </t>
  </si>
  <si>
    <t xml:space="preserve">Central African Republic </t>
  </si>
  <si>
    <t>República Centroafricana</t>
  </si>
  <si>
    <t>République centrafricaine</t>
  </si>
  <si>
    <t>.ca</t>
  </si>
  <si>
    <t>CA</t>
  </si>
  <si>
    <t>Kanada</t>
  </si>
  <si>
    <t xml:space="preserve">Canada </t>
  </si>
  <si>
    <t>Canadá</t>
  </si>
  <si>
    <t>.ch</t>
  </si>
  <si>
    <t>CH</t>
  </si>
  <si>
    <t>Schweiz (Confoederatio Helvetica)</t>
  </si>
  <si>
    <t xml:space="preserve">della Svizzera Svizzera </t>
  </si>
  <si>
    <t xml:space="preserve">Switzerland </t>
  </si>
  <si>
    <t>Suiza</t>
  </si>
  <si>
    <t>Suisse</t>
  </si>
  <si>
    <t>.cl</t>
  </si>
  <si>
    <t>CL</t>
  </si>
  <si>
    <t xml:space="preserve">Cile </t>
  </si>
  <si>
    <t xml:space="preserve">Chile </t>
  </si>
  <si>
    <t>Chili</t>
  </si>
  <si>
    <t>.cn</t>
  </si>
  <si>
    <t>CN</t>
  </si>
  <si>
    <t>China, Volksrepublik</t>
  </si>
  <si>
    <t xml:space="preserve">Cina </t>
  </si>
  <si>
    <t xml:space="preserve">China </t>
  </si>
  <si>
    <t>Chine</t>
  </si>
  <si>
    <t>.ci</t>
  </si>
  <si>
    <t>CI</t>
  </si>
  <si>
    <t>Côte d’Ivoire (Elfenbeinküste)</t>
  </si>
  <si>
    <t xml:space="preserve">Costa d'Avorio </t>
  </si>
  <si>
    <t xml:space="preserve">Côte d'Ivoire </t>
  </si>
  <si>
    <t>Costa de Marfil</t>
  </si>
  <si>
    <t>Côte-d'Ivoire</t>
  </si>
  <si>
    <t>.cm</t>
  </si>
  <si>
    <t>CM</t>
  </si>
  <si>
    <t>Kamerun</t>
  </si>
  <si>
    <t xml:space="preserve">Camerun </t>
  </si>
  <si>
    <t xml:space="preserve">Cameroon </t>
  </si>
  <si>
    <t>Camerún</t>
  </si>
  <si>
    <t>Cameroun</t>
  </si>
  <si>
    <t>.cd</t>
  </si>
  <si>
    <t>CD</t>
  </si>
  <si>
    <t>Kongo, Demokratische Republik (ehem. Zaire)</t>
  </si>
  <si>
    <t xml:space="preserve">Repubblica Democratica del Congo </t>
  </si>
  <si>
    <t xml:space="preserve">Congo, the Democratic Republic of the </t>
  </si>
  <si>
    <t>Rep. Dem. del Congo</t>
  </si>
  <si>
    <t>République démocratique du Congo</t>
  </si>
  <si>
    <t>.cg</t>
  </si>
  <si>
    <t>CG</t>
  </si>
  <si>
    <t>Republik Kongo</t>
  </si>
  <si>
    <t xml:space="preserve">Repubblica del Congo </t>
  </si>
  <si>
    <t xml:space="preserve">Congo </t>
  </si>
  <si>
    <t>República del Congo</t>
  </si>
  <si>
    <t>République du Congo</t>
  </si>
  <si>
    <t>.co</t>
  </si>
  <si>
    <t>CO</t>
  </si>
  <si>
    <t>Kolumbien</t>
  </si>
  <si>
    <t xml:space="preserve">Colombia </t>
  </si>
  <si>
    <t>Colombie</t>
  </si>
  <si>
    <t>.km</t>
  </si>
  <si>
    <t>KM</t>
  </si>
  <si>
    <t>Komoren</t>
  </si>
  <si>
    <t xml:space="preserve">Comore </t>
  </si>
  <si>
    <t xml:space="preserve">Comoros </t>
  </si>
  <si>
    <t>Comoras</t>
  </si>
  <si>
    <t>Comores</t>
  </si>
  <si>
    <t>.cv</t>
  </si>
  <si>
    <t>CV</t>
  </si>
  <si>
    <t>Kap Verde</t>
  </si>
  <si>
    <t xml:space="preserve">Capo Verde </t>
  </si>
  <si>
    <t xml:space="preserve">Cape Verde </t>
  </si>
  <si>
    <t>Cap vert</t>
  </si>
  <si>
    <t>.cr</t>
  </si>
  <si>
    <t>CR</t>
  </si>
  <si>
    <t xml:space="preserve">Costa Rica </t>
  </si>
  <si>
    <t>.cu</t>
  </si>
  <si>
    <t>CU</t>
  </si>
  <si>
    <t>Kuba</t>
  </si>
  <si>
    <t xml:space="preserve">Cuba </t>
  </si>
  <si>
    <t>.cw</t>
  </si>
  <si>
    <t>CW</t>
  </si>
  <si>
    <t>Curaçao</t>
  </si>
  <si>
    <t xml:space="preserve">Curaçao </t>
  </si>
  <si>
    <t>Curazao</t>
  </si>
  <si>
    <t>.ky</t>
  </si>
  <si>
    <t>KY</t>
  </si>
  <si>
    <t>Kaimaninseln</t>
  </si>
  <si>
    <t xml:space="preserve">Isole Cayman </t>
  </si>
  <si>
    <t xml:space="preserve">Cayman Islands </t>
  </si>
  <si>
    <t>Islas Caimán</t>
  </si>
  <si>
    <t>Îles Caïmans</t>
  </si>
  <si>
    <t>.cy</t>
  </si>
  <si>
    <t>CY</t>
  </si>
  <si>
    <t>Zypern</t>
  </si>
  <si>
    <t xml:space="preserve">Cipro </t>
  </si>
  <si>
    <t xml:space="preserve">Cyprus </t>
  </si>
  <si>
    <t>Chipre</t>
  </si>
  <si>
    <t>Chypre</t>
  </si>
  <si>
    <t>.cz</t>
  </si>
  <si>
    <t>CZ</t>
  </si>
  <si>
    <t>Tschechische Republik</t>
  </si>
  <si>
    <t xml:space="preserve">Repubblica Ceca </t>
  </si>
  <si>
    <t xml:space="preserve">Czech Republic </t>
  </si>
  <si>
    <t>República Checa</t>
  </si>
  <si>
    <t>République Tchèque</t>
  </si>
  <si>
    <t>.de</t>
  </si>
  <si>
    <t>DE</t>
  </si>
  <si>
    <t>Deutschland</t>
  </si>
  <si>
    <t xml:space="preserve">Germania </t>
  </si>
  <si>
    <t xml:space="preserve">Germany </t>
  </si>
  <si>
    <t>Alemania</t>
  </si>
  <si>
    <t>Allemagne</t>
  </si>
  <si>
    <t>.dj</t>
  </si>
  <si>
    <t>DJ</t>
  </si>
  <si>
    <t>Dschibuti</t>
  </si>
  <si>
    <t xml:space="preserve">Gibuti </t>
  </si>
  <si>
    <t xml:space="preserve">Djibouti </t>
  </si>
  <si>
    <t>Yibuti</t>
  </si>
  <si>
    <t>.dm</t>
  </si>
  <si>
    <t>DM</t>
  </si>
  <si>
    <t xml:space="preserve">Dominica </t>
  </si>
  <si>
    <t>Dominique</t>
  </si>
  <si>
    <t>.dk</t>
  </si>
  <si>
    <t>DK</t>
  </si>
  <si>
    <t>Dänemark</t>
  </si>
  <si>
    <t xml:space="preserve">Danimarca </t>
  </si>
  <si>
    <t xml:space="preserve">Denmark </t>
  </si>
  <si>
    <t>Dinamarca</t>
  </si>
  <si>
    <t>Danemark</t>
  </si>
  <si>
    <t>.do</t>
  </si>
  <si>
    <t>DO</t>
  </si>
  <si>
    <t>Dominikanische Republik</t>
  </si>
  <si>
    <t xml:space="preserve">Repubblica Dominicana </t>
  </si>
  <si>
    <t xml:space="preserve">Dominican Republic </t>
  </si>
  <si>
    <t>República Dominicana</t>
  </si>
  <si>
    <t>République Dominicaine</t>
  </si>
  <si>
    <t>.dz</t>
  </si>
  <si>
    <t>DZ</t>
  </si>
  <si>
    <t>Algerien</t>
  </si>
  <si>
    <t xml:space="preserve">Algeria </t>
  </si>
  <si>
    <t>Argelia</t>
  </si>
  <si>
    <t>Algérie</t>
  </si>
  <si>
    <t>.ec</t>
  </si>
  <si>
    <t>EC</t>
  </si>
  <si>
    <t xml:space="preserve">Ecuador </t>
  </si>
  <si>
    <t>Équateur</t>
  </si>
  <si>
    <t>.eg</t>
  </si>
  <si>
    <t>EG</t>
  </si>
  <si>
    <t>Ägypten</t>
  </si>
  <si>
    <t xml:space="preserve">Egitto </t>
  </si>
  <si>
    <t xml:space="preserve">Egypt </t>
  </si>
  <si>
    <t>Egipto</t>
  </si>
  <si>
    <t>Égypte</t>
  </si>
  <si>
    <t>.er</t>
  </si>
  <si>
    <t>ER</t>
  </si>
  <si>
    <t xml:space="preserve">Eritrea </t>
  </si>
  <si>
    <t>Érythrée</t>
  </si>
  <si>
    <t>.es</t>
  </si>
  <si>
    <t>ES</t>
  </si>
  <si>
    <t>Spanien</t>
  </si>
  <si>
    <t xml:space="preserve">Spagna </t>
  </si>
  <si>
    <t xml:space="preserve">Spain </t>
  </si>
  <si>
    <t>España</t>
  </si>
  <si>
    <t>Espagne</t>
  </si>
  <si>
    <t>.ee</t>
  </si>
  <si>
    <t>EE</t>
  </si>
  <si>
    <t>Estland</t>
  </si>
  <si>
    <t xml:space="preserve">Estonia </t>
  </si>
  <si>
    <t>Estonie</t>
  </si>
  <si>
    <t>.et</t>
  </si>
  <si>
    <t>ET</t>
  </si>
  <si>
    <t>Äthiopien</t>
  </si>
  <si>
    <t xml:space="preserve">Etiopia </t>
  </si>
  <si>
    <t xml:space="preserve">Ethiopia </t>
  </si>
  <si>
    <t>Etiopía</t>
  </si>
  <si>
    <t>Éthiopie</t>
  </si>
  <si>
    <t>.fi</t>
  </si>
  <si>
    <t>FI</t>
  </si>
  <si>
    <t>Finnland</t>
  </si>
  <si>
    <t xml:space="preserve">Finlandia </t>
  </si>
  <si>
    <t xml:space="preserve">Finland </t>
  </si>
  <si>
    <t>Finlandia</t>
  </si>
  <si>
    <t>Finlande</t>
  </si>
  <si>
    <t>.fj</t>
  </si>
  <si>
    <t>FJ</t>
  </si>
  <si>
    <t>Fidschi</t>
  </si>
  <si>
    <t xml:space="preserve">Figi </t>
  </si>
  <si>
    <t xml:space="preserve">Fiji </t>
  </si>
  <si>
    <t>Fiyi</t>
  </si>
  <si>
    <t>.fr</t>
  </si>
  <si>
    <t>FR</t>
  </si>
  <si>
    <t>Frankreich</t>
  </si>
  <si>
    <t xml:space="preserve">Francia </t>
  </si>
  <si>
    <t xml:space="preserve">France </t>
  </si>
  <si>
    <t>Francia</t>
  </si>
  <si>
    <t>.fo</t>
  </si>
  <si>
    <t>FO</t>
  </si>
  <si>
    <t>Färöer</t>
  </si>
  <si>
    <t xml:space="preserve">Isole Fær Øer </t>
  </si>
  <si>
    <t xml:space="preserve">Faroe Islands </t>
  </si>
  <si>
    <t>Islas Feroe</t>
  </si>
  <si>
    <t>Îles Féroé</t>
  </si>
  <si>
    <t>.fm</t>
  </si>
  <si>
    <t>FM</t>
  </si>
  <si>
    <t>Mikronesien</t>
  </si>
  <si>
    <t xml:space="preserve">Micronesia </t>
  </si>
  <si>
    <t xml:space="preserve">Micronesia, Federated States of </t>
  </si>
  <si>
    <t>Micronesia</t>
  </si>
  <si>
    <t>Micronésie</t>
  </si>
  <si>
    <t>.ga</t>
  </si>
  <si>
    <t>GA</t>
  </si>
  <si>
    <t>Gabun</t>
  </si>
  <si>
    <t xml:space="preserve">Gabon </t>
  </si>
  <si>
    <t>Gabón</t>
  </si>
  <si>
    <t>.uk</t>
  </si>
  <si>
    <t>GB</t>
  </si>
  <si>
    <t>Vereinigtes Königreich Großbritannien und Nordirland</t>
  </si>
  <si>
    <t xml:space="preserve">Regno Unito </t>
  </si>
  <si>
    <t xml:space="preserve">United Kingdom </t>
  </si>
  <si>
    <t>Reino Unido</t>
  </si>
  <si>
    <t>Royaume-Uni</t>
  </si>
  <si>
    <t>.ge</t>
  </si>
  <si>
    <t>GE</t>
  </si>
  <si>
    <t>Georgien</t>
  </si>
  <si>
    <t xml:space="preserve">Georgia </t>
  </si>
  <si>
    <t>État de Géorgie</t>
  </si>
  <si>
    <t>.gh</t>
  </si>
  <si>
    <t>GH</t>
  </si>
  <si>
    <t xml:space="preserve">Ghana </t>
  </si>
  <si>
    <t>.gi</t>
  </si>
  <si>
    <t>GI</t>
  </si>
  <si>
    <t xml:space="preserve">Gibilterra </t>
  </si>
  <si>
    <t xml:space="preserve">Gibraltar </t>
  </si>
  <si>
    <t>Gribraltar</t>
  </si>
  <si>
    <t>.gn</t>
  </si>
  <si>
    <t>GN</t>
  </si>
  <si>
    <t xml:space="preserve">Guinea </t>
  </si>
  <si>
    <t>Guinée</t>
  </si>
  <si>
    <t>.gm</t>
  </si>
  <si>
    <t>GM</t>
  </si>
  <si>
    <t>Gambia</t>
  </si>
  <si>
    <t xml:space="preserve">Gambia </t>
  </si>
  <si>
    <t>Gambie</t>
  </si>
  <si>
    <t>.gw</t>
  </si>
  <si>
    <t>GW</t>
  </si>
  <si>
    <t xml:space="preserve">Guinea-Bissau </t>
  </si>
  <si>
    <t>Guinea-Bisáu</t>
  </si>
  <si>
    <t>Guinée-Bissau</t>
  </si>
  <si>
    <t>.gq</t>
  </si>
  <si>
    <t>GQ</t>
  </si>
  <si>
    <t>Äquatorialguinea</t>
  </si>
  <si>
    <t xml:space="preserve">Guinea Equatoriale </t>
  </si>
  <si>
    <t xml:space="preserve">Equatorial Guinea </t>
  </si>
  <si>
    <t>Guinea Ecuatorial</t>
  </si>
  <si>
    <t>Guinée équatoriale</t>
  </si>
  <si>
    <t>.gr</t>
  </si>
  <si>
    <t>GR</t>
  </si>
  <si>
    <t>Griechenland</t>
  </si>
  <si>
    <t xml:space="preserve">Grecia </t>
  </si>
  <si>
    <t xml:space="preserve">Greece </t>
  </si>
  <si>
    <t>Grecia</t>
  </si>
  <si>
    <t>Grèce</t>
  </si>
  <si>
    <t>.gd</t>
  </si>
  <si>
    <t>GD</t>
  </si>
  <si>
    <t xml:space="preserve">Grenada </t>
  </si>
  <si>
    <t>Granada</t>
  </si>
  <si>
    <t>Grenade</t>
  </si>
  <si>
    <t>.gl</t>
  </si>
  <si>
    <t>GL</t>
  </si>
  <si>
    <t>Grönland</t>
  </si>
  <si>
    <t xml:space="preserve">Groenlandia </t>
  </si>
  <si>
    <t xml:space="preserve">Greenland </t>
  </si>
  <si>
    <t>Groenlandia</t>
  </si>
  <si>
    <t>Groenland</t>
  </si>
  <si>
    <t>.gt</t>
  </si>
  <si>
    <t>GT</t>
  </si>
  <si>
    <t xml:space="preserve">Guatemala </t>
  </si>
  <si>
    <t>Guatémala</t>
  </si>
  <si>
    <t>.gu</t>
  </si>
  <si>
    <t>GU</t>
  </si>
  <si>
    <t xml:space="preserve">Guam </t>
  </si>
  <si>
    <t>.gy</t>
  </si>
  <si>
    <t>GY</t>
  </si>
  <si>
    <t xml:space="preserve">Guyana </t>
  </si>
  <si>
    <t>Guyane</t>
  </si>
  <si>
    <t>.hk</t>
  </si>
  <si>
    <t>HK</t>
  </si>
  <si>
    <t>Hongkong</t>
  </si>
  <si>
    <t xml:space="preserve">Hong Kong </t>
  </si>
  <si>
    <t>Hong Kong</t>
  </si>
  <si>
    <t>.hn</t>
  </si>
  <si>
    <t>HN</t>
  </si>
  <si>
    <t xml:space="preserve">Honduras </t>
  </si>
  <si>
    <t>.hr</t>
  </si>
  <si>
    <t>HR</t>
  </si>
  <si>
    <t>Kroatien</t>
  </si>
  <si>
    <t xml:space="preserve">Croazia </t>
  </si>
  <si>
    <t xml:space="preserve">Croatia </t>
  </si>
  <si>
    <t>Croacia</t>
  </si>
  <si>
    <t>Croatie</t>
  </si>
  <si>
    <t>.ht</t>
  </si>
  <si>
    <t>HT</t>
  </si>
  <si>
    <t xml:space="preserve">Haiti </t>
  </si>
  <si>
    <t>Haití</t>
  </si>
  <si>
    <t>Haïti</t>
  </si>
  <si>
    <t>.hu</t>
  </si>
  <si>
    <t>HU</t>
  </si>
  <si>
    <t>Ungarn</t>
  </si>
  <si>
    <t xml:space="preserve">Ungheria </t>
  </si>
  <si>
    <t xml:space="preserve">Hungary </t>
  </si>
  <si>
    <t>Hungría</t>
  </si>
  <si>
    <t>Hongrie</t>
  </si>
  <si>
    <t>.id</t>
  </si>
  <si>
    <t>ID</t>
  </si>
  <si>
    <t>Indonesien</t>
  </si>
  <si>
    <t xml:space="preserve">Indonesia </t>
  </si>
  <si>
    <t>Indonésie</t>
  </si>
  <si>
    <t>.im</t>
  </si>
  <si>
    <t>IM</t>
  </si>
  <si>
    <t>Insel Man</t>
  </si>
  <si>
    <t xml:space="preserve">Isola di Man </t>
  </si>
  <si>
    <t xml:space="preserve">Isle of Man </t>
  </si>
  <si>
    <t>Isla de Man</t>
  </si>
  <si>
    <t>Île de Man</t>
  </si>
  <si>
    <t>.in</t>
  </si>
  <si>
    <t>IN</t>
  </si>
  <si>
    <t>Indien</t>
  </si>
  <si>
    <t xml:space="preserve">India </t>
  </si>
  <si>
    <t>Inde</t>
  </si>
  <si>
    <t>.ie</t>
  </si>
  <si>
    <t>IE</t>
  </si>
  <si>
    <t>Irland</t>
  </si>
  <si>
    <t xml:space="preserve">Irlanda </t>
  </si>
  <si>
    <t xml:space="preserve">Ireland </t>
  </si>
  <si>
    <t>Irlanda</t>
  </si>
  <si>
    <t>Irlande</t>
  </si>
  <si>
    <t>.ir</t>
  </si>
  <si>
    <t>IR</t>
  </si>
  <si>
    <t>Iran, Islamische Republik</t>
  </si>
  <si>
    <t xml:space="preserve">Iran </t>
  </si>
  <si>
    <t xml:space="preserve">Iran, Islamic Republic of </t>
  </si>
  <si>
    <t>Irán</t>
  </si>
  <si>
    <t>Iran</t>
  </si>
  <si>
    <t>.iq</t>
  </si>
  <si>
    <t>IQ</t>
  </si>
  <si>
    <t>Irak</t>
  </si>
  <si>
    <t xml:space="preserve">Iraq </t>
  </si>
  <si>
    <t>.is</t>
  </si>
  <si>
    <t>IS</t>
  </si>
  <si>
    <t>Island</t>
  </si>
  <si>
    <t xml:space="preserve">Islanda </t>
  </si>
  <si>
    <t xml:space="preserve">Iceland </t>
  </si>
  <si>
    <t>Islandia</t>
  </si>
  <si>
    <t>Islande</t>
  </si>
  <si>
    <t>.il</t>
  </si>
  <si>
    <t>IL</t>
  </si>
  <si>
    <t xml:space="preserve">Israele </t>
  </si>
  <si>
    <t xml:space="preserve">Israel </t>
  </si>
  <si>
    <t>Israël</t>
  </si>
  <si>
    <t>.it</t>
  </si>
  <si>
    <t>IT</t>
  </si>
  <si>
    <t>Italien</t>
  </si>
  <si>
    <t xml:space="preserve">Italia </t>
  </si>
  <si>
    <t xml:space="preserve">Italy </t>
  </si>
  <si>
    <t>Italia</t>
  </si>
  <si>
    <t>Italie</t>
  </si>
  <si>
    <t>.jm</t>
  </si>
  <si>
    <t>JM</t>
  </si>
  <si>
    <t>Jamaika</t>
  </si>
  <si>
    <t xml:space="preserve">Giamaica </t>
  </si>
  <si>
    <t xml:space="preserve">Jamaica </t>
  </si>
  <si>
    <t>Jamaïque</t>
  </si>
  <si>
    <t>.jo</t>
  </si>
  <si>
    <t>JO</t>
  </si>
  <si>
    <t>Jordanien</t>
  </si>
  <si>
    <t xml:space="preserve">Giordania </t>
  </si>
  <si>
    <t xml:space="preserve">Jordan </t>
  </si>
  <si>
    <t>Jordania</t>
  </si>
  <si>
    <t>Jordanie</t>
  </si>
  <si>
    <t>.jp</t>
  </si>
  <si>
    <t>JP</t>
  </si>
  <si>
    <t xml:space="preserve">Giappone </t>
  </si>
  <si>
    <t xml:space="preserve">Japan </t>
  </si>
  <si>
    <t>Japón</t>
  </si>
  <si>
    <t>Japon</t>
  </si>
  <si>
    <t>.kz</t>
  </si>
  <si>
    <t>KZ</t>
  </si>
  <si>
    <t>Kasachstan</t>
  </si>
  <si>
    <t xml:space="preserve">Kazakistan </t>
  </si>
  <si>
    <t xml:space="preserve">Kazakhstan </t>
  </si>
  <si>
    <t>Kazajistán</t>
  </si>
  <si>
    <t>.ke</t>
  </si>
  <si>
    <t>KE</t>
  </si>
  <si>
    <t>Kenia</t>
  </si>
  <si>
    <t xml:space="preserve">Kenya </t>
  </si>
  <si>
    <t>.kg</t>
  </si>
  <si>
    <t>KG</t>
  </si>
  <si>
    <t>Kirgisistan</t>
  </si>
  <si>
    <t xml:space="preserve">Kirghizistan </t>
  </si>
  <si>
    <t xml:space="preserve">Kyrgyzstan </t>
  </si>
  <si>
    <t>Kirguistán</t>
  </si>
  <si>
    <t>Kirghizistan</t>
  </si>
  <si>
    <t>.kh</t>
  </si>
  <si>
    <t>KH</t>
  </si>
  <si>
    <t>Kambodscha</t>
  </si>
  <si>
    <t xml:space="preserve">Cambogia </t>
  </si>
  <si>
    <t xml:space="preserve">Cambodia </t>
  </si>
  <si>
    <t>Camboya</t>
  </si>
  <si>
    <t>Cambodge</t>
  </si>
  <si>
    <t>.ki</t>
  </si>
  <si>
    <t>KI</t>
  </si>
  <si>
    <t xml:space="preserve">Kiribati </t>
  </si>
  <si>
    <t>.kn</t>
  </si>
  <si>
    <t>KN</t>
  </si>
  <si>
    <t>St. Kitts und Nevis</t>
  </si>
  <si>
    <t xml:space="preserve">Saint Kitts e Nevis </t>
  </si>
  <si>
    <t xml:space="preserve">Saint Kitts and Nevis </t>
  </si>
  <si>
    <t>San Cristóbal y Nieves</t>
  </si>
  <si>
    <t>Saint-Kitts-et-Nevis</t>
  </si>
  <si>
    <t>.kr</t>
  </si>
  <si>
    <t>KR</t>
  </si>
  <si>
    <t>Korea, Republik (Südkorea)</t>
  </si>
  <si>
    <t xml:space="preserve">Corea del Sud </t>
  </si>
  <si>
    <t xml:space="preserve">Korea, Republic of </t>
  </si>
  <si>
    <t>Corea del Sur</t>
  </si>
  <si>
    <t>Corée du Sud</t>
  </si>
  <si>
    <t>.kw</t>
  </si>
  <si>
    <t>KW</t>
  </si>
  <si>
    <t xml:space="preserve">Kuwait </t>
  </si>
  <si>
    <t>Koweït</t>
  </si>
  <si>
    <t>.la</t>
  </si>
  <si>
    <t>LA</t>
  </si>
  <si>
    <t>Laos, Demokratische Volksrepublik</t>
  </si>
  <si>
    <t xml:space="preserve">Laos </t>
  </si>
  <si>
    <t xml:space="preserve">Lao People's Democratic Republic </t>
  </si>
  <si>
    <t>Laos</t>
  </si>
  <si>
    <t>.lb</t>
  </si>
  <si>
    <t>LB</t>
  </si>
  <si>
    <t>Libanon</t>
  </si>
  <si>
    <t xml:space="preserve">Libano </t>
  </si>
  <si>
    <t xml:space="preserve">Lebanon </t>
  </si>
  <si>
    <t>Líbano</t>
  </si>
  <si>
    <t>Liban</t>
  </si>
  <si>
    <t>.lr</t>
  </si>
  <si>
    <t>LR</t>
  </si>
  <si>
    <t xml:space="preserve">Liberia </t>
  </si>
  <si>
    <t>Libéria</t>
  </si>
  <si>
    <t>.ly</t>
  </si>
  <si>
    <t>LY</t>
  </si>
  <si>
    <t>Libyen</t>
  </si>
  <si>
    <t xml:space="preserve">Libia </t>
  </si>
  <si>
    <t xml:space="preserve">Libya </t>
  </si>
  <si>
    <t>Libia</t>
  </si>
  <si>
    <t>Libye</t>
  </si>
  <si>
    <t>.lc</t>
  </si>
  <si>
    <t>LC</t>
  </si>
  <si>
    <t xml:space="preserve">Santa Lucia </t>
  </si>
  <si>
    <t xml:space="preserve">Saint Lucia </t>
  </si>
  <si>
    <t>Santa Lucía</t>
  </si>
  <si>
    <t>Sainte-Lucie</t>
  </si>
  <si>
    <t>.li</t>
  </si>
  <si>
    <t>LI</t>
  </si>
  <si>
    <t xml:space="preserve">Liechtenstein </t>
  </si>
  <si>
    <t>.lk</t>
  </si>
  <si>
    <t>LK</t>
  </si>
  <si>
    <t xml:space="preserve">Sri Lanka </t>
  </si>
  <si>
    <t>.ls</t>
  </si>
  <si>
    <t>LS</t>
  </si>
  <si>
    <t xml:space="preserve">Lesotho </t>
  </si>
  <si>
    <t>Lesoto</t>
  </si>
  <si>
    <t>.lt</t>
  </si>
  <si>
    <t>LT</t>
  </si>
  <si>
    <t>Litauen</t>
  </si>
  <si>
    <t xml:space="preserve">Lituania </t>
  </si>
  <si>
    <t xml:space="preserve">Lithuania </t>
  </si>
  <si>
    <t>Lituania</t>
  </si>
  <si>
    <t>Lituanie</t>
  </si>
  <si>
    <t>.lu</t>
  </si>
  <si>
    <t>LU</t>
  </si>
  <si>
    <t>Luxemburg</t>
  </si>
  <si>
    <t xml:space="preserve">Lussemburgo </t>
  </si>
  <si>
    <t xml:space="preserve">Luxembourg </t>
  </si>
  <si>
    <t>Luxemburgo</t>
  </si>
  <si>
    <t>.lv</t>
  </si>
  <si>
    <t>LV</t>
  </si>
  <si>
    <t>Lettland</t>
  </si>
  <si>
    <t xml:space="preserve">Lettonia </t>
  </si>
  <si>
    <t xml:space="preserve">Latvia </t>
  </si>
  <si>
    <t>Letonia</t>
  </si>
  <si>
    <t>Lettonie</t>
  </si>
  <si>
    <t>.mo</t>
  </si>
  <si>
    <t>MO</t>
  </si>
  <si>
    <t>Macao</t>
  </si>
  <si>
    <t xml:space="preserve">Macao </t>
  </si>
  <si>
    <t>.gp</t>
  </si>
  <si>
    <t>MF</t>
  </si>
  <si>
    <t>Saint-Martin (franz. Teil)</t>
  </si>
  <si>
    <t xml:space="preserve">Saint-Martin </t>
  </si>
  <si>
    <t xml:space="preserve">Saint Martin (French part) </t>
  </si>
  <si>
    <t>San Martín</t>
  </si>
  <si>
    <t>Saint-Martin</t>
  </si>
  <si>
    <t>.ma</t>
  </si>
  <si>
    <t>MA</t>
  </si>
  <si>
    <t>Marokko</t>
  </si>
  <si>
    <t xml:space="preserve">Marocco </t>
  </si>
  <si>
    <t xml:space="preserve">Morocco </t>
  </si>
  <si>
    <t>Marruecos</t>
  </si>
  <si>
    <t>Maroc</t>
  </si>
  <si>
    <t>.mc</t>
  </si>
  <si>
    <t>MC</t>
  </si>
  <si>
    <t xml:space="preserve">di Monaco Monaco </t>
  </si>
  <si>
    <t xml:space="preserve">Monaco </t>
  </si>
  <si>
    <t>Mónaco</t>
  </si>
  <si>
    <t>.md</t>
  </si>
  <si>
    <t>MD</t>
  </si>
  <si>
    <t>Moldawien (Republik Moldau)</t>
  </si>
  <si>
    <t xml:space="preserve">Moldavia </t>
  </si>
  <si>
    <t xml:space="preserve">Moldova, Republic of </t>
  </si>
  <si>
    <t>Moldavia</t>
  </si>
  <si>
    <t>Moldavie</t>
  </si>
  <si>
    <t>.mg</t>
  </si>
  <si>
    <t>MG</t>
  </si>
  <si>
    <t>Madagaskar</t>
  </si>
  <si>
    <t xml:space="preserve">Madagascar </t>
  </si>
  <si>
    <t>.mv</t>
  </si>
  <si>
    <t>MV</t>
  </si>
  <si>
    <t>Malediven</t>
  </si>
  <si>
    <t xml:space="preserve">Maldive </t>
  </si>
  <si>
    <t xml:space="preserve">Maldives </t>
  </si>
  <si>
    <t>Maldivas</t>
  </si>
  <si>
    <t>.mx</t>
  </si>
  <si>
    <t>MX</t>
  </si>
  <si>
    <t>Mexiko</t>
  </si>
  <si>
    <t xml:space="preserve">Messico </t>
  </si>
  <si>
    <t xml:space="preserve">Mexico </t>
  </si>
  <si>
    <t>México</t>
  </si>
  <si>
    <t>Mexique</t>
  </si>
  <si>
    <t>.mh</t>
  </si>
  <si>
    <t>MH</t>
  </si>
  <si>
    <t>Marshallinseln</t>
  </si>
  <si>
    <t xml:space="preserve">Isole Marshall </t>
  </si>
  <si>
    <t xml:space="preserve">Marshall Islands </t>
  </si>
  <si>
    <t>Islas Marshall</t>
  </si>
  <si>
    <t>Îles Marshall</t>
  </si>
  <si>
    <t>.mk</t>
  </si>
  <si>
    <t>MK</t>
  </si>
  <si>
    <t>Mazedonien</t>
  </si>
  <si>
    <t xml:space="preserve">Repubblica di Macedonia </t>
  </si>
  <si>
    <t xml:space="preserve">Macedonia, The Former Yugoslav Republic of </t>
  </si>
  <si>
    <t>República de Macedonia</t>
  </si>
  <si>
    <t>Macédoine</t>
  </si>
  <si>
    <t>.ml</t>
  </si>
  <si>
    <t>ML</t>
  </si>
  <si>
    <t xml:space="preserve">Mali </t>
  </si>
  <si>
    <t>Malí</t>
  </si>
  <si>
    <t>.mt</t>
  </si>
  <si>
    <t>MT</t>
  </si>
  <si>
    <t xml:space="preserve">Malta </t>
  </si>
  <si>
    <t>Malte</t>
  </si>
  <si>
    <t>.mm</t>
  </si>
  <si>
    <t>MM</t>
  </si>
  <si>
    <t>Myanmar (Burma)</t>
  </si>
  <si>
    <t xml:space="preserve">Birmania </t>
  </si>
  <si>
    <t xml:space="preserve">Myanmar </t>
  </si>
  <si>
    <t>Birmania</t>
  </si>
  <si>
    <t>.me</t>
  </si>
  <si>
    <t>ME</t>
  </si>
  <si>
    <t xml:space="preserve">Montenegro </t>
  </si>
  <si>
    <t>Monténégro</t>
  </si>
  <si>
    <t>.mn</t>
  </si>
  <si>
    <t>MN</t>
  </si>
  <si>
    <t>Mongolei</t>
  </si>
  <si>
    <t xml:space="preserve">Mongolia </t>
  </si>
  <si>
    <t>Mongolie</t>
  </si>
  <si>
    <t>.mp</t>
  </si>
  <si>
    <t>MP</t>
  </si>
  <si>
    <t>Nördliche Marianen</t>
  </si>
  <si>
    <t xml:space="preserve">Isole Marianne Settentrionali </t>
  </si>
  <si>
    <t xml:space="preserve">Northern Mariana Islands </t>
  </si>
  <si>
    <t>Islas Marianas del Norte</t>
  </si>
  <si>
    <t>Îles Mariannes du Nord</t>
  </si>
  <si>
    <t>.mz</t>
  </si>
  <si>
    <t>MZ</t>
  </si>
  <si>
    <t>Mosambik</t>
  </si>
  <si>
    <t xml:space="preserve">Mozambico </t>
  </si>
  <si>
    <t xml:space="preserve">Mozambique </t>
  </si>
  <si>
    <t>.mr</t>
  </si>
  <si>
    <t>MR</t>
  </si>
  <si>
    <t>Mauretanien</t>
  </si>
  <si>
    <t xml:space="preserve">Mauritania </t>
  </si>
  <si>
    <t>Mauritanie</t>
  </si>
  <si>
    <t>.mu</t>
  </si>
  <si>
    <t>MU</t>
  </si>
  <si>
    <t xml:space="preserve">Mauritius </t>
  </si>
  <si>
    <t>Mauricio</t>
  </si>
  <si>
    <t>Île Maurice</t>
  </si>
  <si>
    <t>.mw</t>
  </si>
  <si>
    <t>MW</t>
  </si>
  <si>
    <t xml:space="preserve">Malawi </t>
  </si>
  <si>
    <t>Malaui</t>
  </si>
  <si>
    <t>.my</t>
  </si>
  <si>
    <t>MY</t>
  </si>
  <si>
    <t xml:space="preserve">Malesia </t>
  </si>
  <si>
    <t xml:space="preserve">Malaysia </t>
  </si>
  <si>
    <t>Malasia</t>
  </si>
  <si>
    <t>Malaysie</t>
  </si>
  <si>
    <t>.na</t>
  </si>
  <si>
    <t>NA</t>
  </si>
  <si>
    <t xml:space="preserve">Namibia </t>
  </si>
  <si>
    <t>Namibie</t>
  </si>
  <si>
    <t>.nc</t>
  </si>
  <si>
    <t>NC</t>
  </si>
  <si>
    <t>Neukaledonien</t>
  </si>
  <si>
    <t xml:space="preserve">Nuova Caledonia </t>
  </si>
  <si>
    <t xml:space="preserve">New Caledonia </t>
  </si>
  <si>
    <t>Nueva Caledonia</t>
  </si>
  <si>
    <t>Nouvelle-Calédonie</t>
  </si>
  <si>
    <t>.ne</t>
  </si>
  <si>
    <t>NE</t>
  </si>
  <si>
    <t xml:space="preserve">Niger </t>
  </si>
  <si>
    <t>Níger</t>
  </si>
  <si>
    <t>.ng</t>
  </si>
  <si>
    <t>NG</t>
  </si>
  <si>
    <t xml:space="preserve">Nigeria </t>
  </si>
  <si>
    <t>Nigéria</t>
  </si>
  <si>
    <t>.ni</t>
  </si>
  <si>
    <t>NI</t>
  </si>
  <si>
    <t xml:space="preserve">Nicaragua </t>
  </si>
  <si>
    <t>.nl</t>
  </si>
  <si>
    <t>NL</t>
  </si>
  <si>
    <t>Niederlande</t>
  </si>
  <si>
    <t xml:space="preserve">Paesi Bassi </t>
  </si>
  <si>
    <t xml:space="preserve">Netherlands </t>
  </si>
  <si>
    <t>Países Bajos</t>
  </si>
  <si>
    <t>Pays-Bas</t>
  </si>
  <si>
    <t>.no</t>
  </si>
  <si>
    <t>NO</t>
  </si>
  <si>
    <t>Norwegen</t>
  </si>
  <si>
    <t xml:space="preserve">Norvegia </t>
  </si>
  <si>
    <t xml:space="preserve">Norway </t>
  </si>
  <si>
    <t>Noruega</t>
  </si>
  <si>
    <t>Norvège</t>
  </si>
  <si>
    <t>.np</t>
  </si>
  <si>
    <t>NP</t>
  </si>
  <si>
    <t xml:space="preserve">Nepal </t>
  </si>
  <si>
    <t>Népal</t>
  </si>
  <si>
    <t>.nr</t>
  </si>
  <si>
    <t>NR</t>
  </si>
  <si>
    <t xml:space="preserve">Nauru </t>
  </si>
  <si>
    <t>.nz</t>
  </si>
  <si>
    <t>NZ</t>
  </si>
  <si>
    <t>Neuseeland</t>
  </si>
  <si>
    <t xml:space="preserve">Nuova Zelanda </t>
  </si>
  <si>
    <t xml:space="preserve">New Zealand </t>
  </si>
  <si>
    <t>Nueva Zelanda</t>
  </si>
  <si>
    <t>Nouvelle Zélande</t>
  </si>
  <si>
    <t>.om</t>
  </si>
  <si>
    <t>OM</t>
  </si>
  <si>
    <t xml:space="preserve">Oman </t>
  </si>
  <si>
    <t>Omán</t>
  </si>
  <si>
    <t>.pk</t>
  </si>
  <si>
    <t>PK</t>
  </si>
  <si>
    <t xml:space="preserve">Pakistan </t>
  </si>
  <si>
    <t>Pakistán</t>
  </si>
  <si>
    <t>.pa</t>
  </si>
  <si>
    <t>PA</t>
  </si>
  <si>
    <t xml:space="preserve">Panamá </t>
  </si>
  <si>
    <t xml:space="preserve">Panama </t>
  </si>
  <si>
    <t>Panamá</t>
  </si>
  <si>
    <t>.pe</t>
  </si>
  <si>
    <t>PE</t>
  </si>
  <si>
    <t xml:space="preserve">Perù </t>
  </si>
  <si>
    <t xml:space="preserve">Peru </t>
  </si>
  <si>
    <t>Perú</t>
  </si>
  <si>
    <t>Pérou</t>
  </si>
  <si>
    <t>.ph</t>
  </si>
  <si>
    <t>PH</t>
  </si>
  <si>
    <t>Philippinen</t>
  </si>
  <si>
    <t xml:space="preserve">Filippine </t>
  </si>
  <si>
    <t xml:space="preserve">Philippines </t>
  </si>
  <si>
    <t>Filipinas</t>
  </si>
  <si>
    <t>.pw</t>
  </si>
  <si>
    <t>PW</t>
  </si>
  <si>
    <t xml:space="preserve">Palau </t>
  </si>
  <si>
    <t>Palaos</t>
  </si>
  <si>
    <t>.pg</t>
  </si>
  <si>
    <t>PG</t>
  </si>
  <si>
    <t>Papua-Neuguinea</t>
  </si>
  <si>
    <t xml:space="preserve">Papua Nuova Guinea </t>
  </si>
  <si>
    <t xml:space="preserve">Papua New Guinea </t>
  </si>
  <si>
    <t>Papúa Nueva Guinea</t>
  </si>
  <si>
    <t>Papouasie-Nouvelle-Guinée</t>
  </si>
  <si>
    <t>.pl</t>
  </si>
  <si>
    <t>PL</t>
  </si>
  <si>
    <t>Polen</t>
  </si>
  <si>
    <t xml:space="preserve">Polonia </t>
  </si>
  <si>
    <t xml:space="preserve">Poland </t>
  </si>
  <si>
    <t>Polonia</t>
  </si>
  <si>
    <t>Pologne</t>
  </si>
  <si>
    <t>.pr</t>
  </si>
  <si>
    <t>PR</t>
  </si>
  <si>
    <t xml:space="preserve">Porto Rico </t>
  </si>
  <si>
    <t xml:space="preserve">Puerto Rico </t>
  </si>
  <si>
    <t>.kp</t>
  </si>
  <si>
    <t>KP</t>
  </si>
  <si>
    <t>Korea, Demokratische Volksrepublik (Nordkorea)</t>
  </si>
  <si>
    <t xml:space="preserve">Corea del Nord </t>
  </si>
  <si>
    <t xml:space="preserve">Korea, Democratic People's Republic of </t>
  </si>
  <si>
    <t>Corea del Norte</t>
  </si>
  <si>
    <t>Corée du Nord</t>
  </si>
  <si>
    <t>.pt</t>
  </si>
  <si>
    <t>PT</t>
  </si>
  <si>
    <t xml:space="preserve">Portogallo </t>
  </si>
  <si>
    <t xml:space="preserve">Portugal </t>
  </si>
  <si>
    <t>.py</t>
  </si>
  <si>
    <t>PY</t>
  </si>
  <si>
    <t xml:space="preserve">Paraguay </t>
  </si>
  <si>
    <t>.ps</t>
  </si>
  <si>
    <t>PS</t>
  </si>
  <si>
    <t>Palästinensische Autonomiegebiete</t>
  </si>
  <si>
    <t xml:space="preserve">Palestina </t>
  </si>
  <si>
    <t xml:space="preserve">Palestinian Territory, Occupied </t>
  </si>
  <si>
    <t>Autoridad Nacional Palestina</t>
  </si>
  <si>
    <t>Territoire Palestinien</t>
  </si>
  <si>
    <t>.pf</t>
  </si>
  <si>
    <t>PF</t>
  </si>
  <si>
    <t>Französisch-Polynesien</t>
  </si>
  <si>
    <t xml:space="preserve">Polinesia francese </t>
  </si>
  <si>
    <t xml:space="preserve">French Polynesia </t>
  </si>
  <si>
    <t>Polinesia Francesa</t>
  </si>
  <si>
    <t>Polynésie française</t>
  </si>
  <si>
    <t>.qa</t>
  </si>
  <si>
    <t>QA</t>
  </si>
  <si>
    <t>Katar</t>
  </si>
  <si>
    <t xml:space="preserve">Qatar </t>
  </si>
  <si>
    <t>Catar</t>
  </si>
  <si>
    <t>.ro</t>
  </si>
  <si>
    <t>RO</t>
  </si>
  <si>
    <t>Rumänien</t>
  </si>
  <si>
    <t xml:space="preserve">Romania </t>
  </si>
  <si>
    <t>Rumania</t>
  </si>
  <si>
    <t>Roumanie</t>
  </si>
  <si>
    <t>.ru</t>
  </si>
  <si>
    <t>RU</t>
  </si>
  <si>
    <t>Russische Föderation</t>
  </si>
  <si>
    <t xml:space="preserve">Russia </t>
  </si>
  <si>
    <t xml:space="preserve">Russian Federation </t>
  </si>
  <si>
    <t>Rusia</t>
  </si>
  <si>
    <t>Russie</t>
  </si>
  <si>
    <t>.rw</t>
  </si>
  <si>
    <t>RW</t>
  </si>
  <si>
    <t>Ruanda</t>
  </si>
  <si>
    <t xml:space="preserve">Ruanda </t>
  </si>
  <si>
    <t xml:space="preserve">Rwanda </t>
  </si>
  <si>
    <t>.sa</t>
  </si>
  <si>
    <t>SA</t>
  </si>
  <si>
    <t>Saudi-Arabien</t>
  </si>
  <si>
    <t xml:space="preserve">Arabia Saudita </t>
  </si>
  <si>
    <t xml:space="preserve">Saudi Arabia </t>
  </si>
  <si>
    <t>Arabia Saudita Arabia Saudita</t>
  </si>
  <si>
    <t>Arabie Saoudite</t>
  </si>
  <si>
    <t>.sd</t>
  </si>
  <si>
    <t>SD</t>
  </si>
  <si>
    <t xml:space="preserve">Sudan </t>
  </si>
  <si>
    <t>Sudán</t>
  </si>
  <si>
    <t>Soudan</t>
  </si>
  <si>
    <t>.sn</t>
  </si>
  <si>
    <t>SN</t>
  </si>
  <si>
    <t xml:space="preserve">Senegal </t>
  </si>
  <si>
    <t>Sénégal</t>
  </si>
  <si>
    <t>.sg</t>
  </si>
  <si>
    <t>SG</t>
  </si>
  <si>
    <t>Singapur</t>
  </si>
  <si>
    <t xml:space="preserve">Singapore </t>
  </si>
  <si>
    <t>Singapour</t>
  </si>
  <si>
    <t>.sb</t>
  </si>
  <si>
    <t>SB</t>
  </si>
  <si>
    <t>Salomonen</t>
  </si>
  <si>
    <t xml:space="preserve">Isole Salomone </t>
  </si>
  <si>
    <t xml:space="preserve">Solomon Islands </t>
  </si>
  <si>
    <t>Islas Salomón</t>
  </si>
  <si>
    <t>Îles Salomon</t>
  </si>
  <si>
    <t>.sl</t>
  </si>
  <si>
    <t>SL</t>
  </si>
  <si>
    <t xml:space="preserve">Sierra Leone </t>
  </si>
  <si>
    <t>Sierra Leona</t>
  </si>
  <si>
    <t>.sv</t>
  </si>
  <si>
    <t>SV</t>
  </si>
  <si>
    <t xml:space="preserve">El Salvador </t>
  </si>
  <si>
    <t>Le Salvador</t>
  </si>
  <si>
    <t>.sm</t>
  </si>
  <si>
    <t>SM</t>
  </si>
  <si>
    <t xml:space="preserve">San Marino </t>
  </si>
  <si>
    <t>San Marin</t>
  </si>
  <si>
    <t>.so</t>
  </si>
  <si>
    <t>SO</t>
  </si>
  <si>
    <t xml:space="preserve">Somalia </t>
  </si>
  <si>
    <t>Somalie</t>
  </si>
  <si>
    <t>.rs</t>
  </si>
  <si>
    <t>RS</t>
  </si>
  <si>
    <t>Serbien</t>
  </si>
  <si>
    <t xml:space="preserve">Serbia </t>
  </si>
  <si>
    <t>Serbie</t>
  </si>
  <si>
    <t>SS</t>
  </si>
  <si>
    <t>Südsudan</t>
  </si>
  <si>
    <t xml:space="preserve">Sudan del Sud </t>
  </si>
  <si>
    <t xml:space="preserve">South Sudan </t>
  </si>
  <si>
    <t>Sudán del Sur</t>
  </si>
  <si>
    <t>Soudan du Sud</t>
  </si>
  <si>
    <t>.st</t>
  </si>
  <si>
    <t>ST</t>
  </si>
  <si>
    <t>São Tomé und Príncipe</t>
  </si>
  <si>
    <t xml:space="preserve">São Tomé e Príncipe </t>
  </si>
  <si>
    <t xml:space="preserve">Sao Tome and Principe </t>
  </si>
  <si>
    <t>Santo Tomé y Príncipe</t>
  </si>
  <si>
    <t>Sao Tomé-et-Principe</t>
  </si>
  <si>
    <t>.sr</t>
  </si>
  <si>
    <t>SR</t>
  </si>
  <si>
    <t xml:space="preserve">Suriname </t>
  </si>
  <si>
    <t>Surinam</t>
  </si>
  <si>
    <t>.sk</t>
  </si>
  <si>
    <t>SK</t>
  </si>
  <si>
    <t>Slowakei</t>
  </si>
  <si>
    <t xml:space="preserve">Slovacchia </t>
  </si>
  <si>
    <t xml:space="preserve">Slovakia </t>
  </si>
  <si>
    <t>Eslovaquia</t>
  </si>
  <si>
    <t>Slovaquie</t>
  </si>
  <si>
    <t>.si</t>
  </si>
  <si>
    <t>SI</t>
  </si>
  <si>
    <t>Slowenien</t>
  </si>
  <si>
    <t xml:space="preserve">Slovenia </t>
  </si>
  <si>
    <t>Eslovenia</t>
  </si>
  <si>
    <t>Slovénie</t>
  </si>
  <si>
    <t>.se</t>
  </si>
  <si>
    <t>SE</t>
  </si>
  <si>
    <t>Schweden</t>
  </si>
  <si>
    <t xml:space="preserve">Svezia </t>
  </si>
  <si>
    <t xml:space="preserve">Sweden </t>
  </si>
  <si>
    <t>Suecia</t>
  </si>
  <si>
    <t>Suède</t>
  </si>
  <si>
    <t>.sz</t>
  </si>
  <si>
    <t>SZ</t>
  </si>
  <si>
    <t>Swasiland</t>
  </si>
  <si>
    <t xml:space="preserve">Swaziland </t>
  </si>
  <si>
    <t>Suazilandia</t>
  </si>
  <si>
    <t>.sx</t>
  </si>
  <si>
    <t>SX</t>
  </si>
  <si>
    <t>Sint Maarten (niederl. Teil)</t>
  </si>
  <si>
    <t xml:space="preserve">Sint Maarten </t>
  </si>
  <si>
    <t xml:space="preserve">Sint Maarten (Dutch part) </t>
  </si>
  <si>
    <t>Sint Maarten</t>
  </si>
  <si>
    <t>.sc</t>
  </si>
  <si>
    <t>SC</t>
  </si>
  <si>
    <t>Seychellen</t>
  </si>
  <si>
    <t xml:space="preserve">Seychelles </t>
  </si>
  <si>
    <t>.sy</t>
  </si>
  <si>
    <t>SY</t>
  </si>
  <si>
    <t>Syrien, Arabische Republik</t>
  </si>
  <si>
    <t xml:space="preserve">Siria </t>
  </si>
  <si>
    <t xml:space="preserve">Syrian Arab Republic </t>
  </si>
  <si>
    <t>Siria</t>
  </si>
  <si>
    <t>Syrie</t>
  </si>
  <si>
    <t>.tc</t>
  </si>
  <si>
    <t>TC</t>
  </si>
  <si>
    <t>Turks- und Caicosinseln</t>
  </si>
  <si>
    <t xml:space="preserve">Turks e Caicos </t>
  </si>
  <si>
    <t xml:space="preserve">Turks and Caicos Islands </t>
  </si>
  <si>
    <t>Islas Turcas y Caicos</t>
  </si>
  <si>
    <t>Îles Turques et Caïques</t>
  </si>
  <si>
    <t>.td</t>
  </si>
  <si>
    <t>TD</t>
  </si>
  <si>
    <t>Tschad</t>
  </si>
  <si>
    <t xml:space="preserve">Ciad </t>
  </si>
  <si>
    <t xml:space="preserve">Chad </t>
  </si>
  <si>
    <t>Tchad</t>
  </si>
  <si>
    <t>.tg</t>
  </si>
  <si>
    <t>TG</t>
  </si>
  <si>
    <t xml:space="preserve">Togo </t>
  </si>
  <si>
    <t>.th</t>
  </si>
  <si>
    <t>TH</t>
  </si>
  <si>
    <t xml:space="preserve">Thailandia </t>
  </si>
  <si>
    <t xml:space="preserve">Thailand </t>
  </si>
  <si>
    <t>Tailandia</t>
  </si>
  <si>
    <t>Thaïlande</t>
  </si>
  <si>
    <t>.tj</t>
  </si>
  <si>
    <t>TJ</t>
  </si>
  <si>
    <t>Tadschikistan</t>
  </si>
  <si>
    <t xml:space="preserve">Tagikistan </t>
  </si>
  <si>
    <t xml:space="preserve">Tajikistan </t>
  </si>
  <si>
    <t>Tayikistán</t>
  </si>
  <si>
    <t>.tm</t>
  </si>
  <si>
    <t>TM</t>
  </si>
  <si>
    <t xml:space="preserve">Turkmenistan </t>
  </si>
  <si>
    <t>Turkmenistán</t>
  </si>
  <si>
    <t>Turkménistan</t>
  </si>
  <si>
    <t>.tl</t>
  </si>
  <si>
    <t>TL</t>
  </si>
  <si>
    <t>Osttimor (Timor-Leste)</t>
  </si>
  <si>
    <t xml:space="preserve">Timor Est </t>
  </si>
  <si>
    <t xml:space="preserve">Timor-Leste </t>
  </si>
  <si>
    <t>Timor Oriental</t>
  </si>
  <si>
    <t>Timor oriental</t>
  </si>
  <si>
    <t>.to</t>
  </si>
  <si>
    <t>TO</t>
  </si>
  <si>
    <t xml:space="preserve">Tonga </t>
  </si>
  <si>
    <t>.tt</t>
  </si>
  <si>
    <t>TT</t>
  </si>
  <si>
    <t>Trinidad und Tobago</t>
  </si>
  <si>
    <t xml:space="preserve">Trinidad e Tobago </t>
  </si>
  <si>
    <t xml:space="preserve">Trinidad and Tobago </t>
  </si>
  <si>
    <t>Trinidad y Tobago</t>
  </si>
  <si>
    <t>Trinité et Tobago</t>
  </si>
  <si>
    <t>.tn</t>
  </si>
  <si>
    <t>TN</t>
  </si>
  <si>
    <t>Tunesien</t>
  </si>
  <si>
    <t xml:space="preserve">Tunisia </t>
  </si>
  <si>
    <t>Túnez</t>
  </si>
  <si>
    <t>Tunisie</t>
  </si>
  <si>
    <t>.tr</t>
  </si>
  <si>
    <t>TR</t>
  </si>
  <si>
    <t>Türkei</t>
  </si>
  <si>
    <t xml:space="preserve">Turchia </t>
  </si>
  <si>
    <t xml:space="preserve">Turkey </t>
  </si>
  <si>
    <t>Turquía</t>
  </si>
  <si>
    <t>Turquie</t>
  </si>
  <si>
    <t>.tv</t>
  </si>
  <si>
    <t>TV</t>
  </si>
  <si>
    <t xml:space="preserve">Tuvalu </t>
  </si>
  <si>
    <t>.tz</t>
  </si>
  <si>
    <t>TZ</t>
  </si>
  <si>
    <t>Tansania, Vereinigte Republik</t>
  </si>
  <si>
    <t xml:space="preserve">Tanzania </t>
  </si>
  <si>
    <t xml:space="preserve">Tanzania, United Republic of </t>
  </si>
  <si>
    <t>Tanzanie</t>
  </si>
  <si>
    <t>.ug</t>
  </si>
  <si>
    <t>UG</t>
  </si>
  <si>
    <t xml:space="preserve">Uganda </t>
  </si>
  <si>
    <t>Ouganda</t>
  </si>
  <si>
    <t>.ua</t>
  </si>
  <si>
    <t>UA</t>
  </si>
  <si>
    <t xml:space="preserve">Ucraina </t>
  </si>
  <si>
    <t xml:space="preserve">Ukraine </t>
  </si>
  <si>
    <t>Ucrania</t>
  </si>
  <si>
    <t>.uy</t>
  </si>
  <si>
    <t>UY</t>
  </si>
  <si>
    <t xml:space="preserve">Uruguay </t>
  </si>
  <si>
    <t>.us</t>
  </si>
  <si>
    <t>US</t>
  </si>
  <si>
    <t>Vereinigte Staaten von Amerika</t>
  </si>
  <si>
    <t xml:space="preserve">Stati Uniti d'America </t>
  </si>
  <si>
    <t xml:space="preserve">United States </t>
  </si>
  <si>
    <t>Estados Unidos</t>
  </si>
  <si>
    <t>États-Unis (USA)</t>
  </si>
  <si>
    <t>.uz</t>
  </si>
  <si>
    <t>UZ</t>
  </si>
  <si>
    <t>Usbekistan</t>
  </si>
  <si>
    <t xml:space="preserve">Uzbekistan </t>
  </si>
  <si>
    <t>Uzbekistán</t>
  </si>
  <si>
    <t>Ouzbékistan</t>
  </si>
  <si>
    <t>.vc</t>
  </si>
  <si>
    <t>VC</t>
  </si>
  <si>
    <t>St. Vincent und die Grenadinen</t>
  </si>
  <si>
    <t xml:space="preserve">Saint Vincent e Grenadine </t>
  </si>
  <si>
    <t xml:space="preserve">Saint Vincent and the Grenadines </t>
  </si>
  <si>
    <t>San Vicente y las Granadinas</t>
  </si>
  <si>
    <t>Saint-Vincent-et-les-Grenadines</t>
  </si>
  <si>
    <t>.ve</t>
  </si>
  <si>
    <t>VE</t>
  </si>
  <si>
    <t>Venezuela</t>
  </si>
  <si>
    <t xml:space="preserve">Venezuela </t>
  </si>
  <si>
    <t xml:space="preserve">Venezuela, Bolivarian Republic of </t>
  </si>
  <si>
    <t>Vénézuela</t>
  </si>
  <si>
    <t>.vg</t>
  </si>
  <si>
    <t>VG</t>
  </si>
  <si>
    <t>Britische Jungferninseln</t>
  </si>
  <si>
    <t xml:space="preserve">Isole Vergini britanniche </t>
  </si>
  <si>
    <t xml:space="preserve">Virgin Islands, British </t>
  </si>
  <si>
    <t>Islas Vírgenes Británicas</t>
  </si>
  <si>
    <t>Îles Vierges britanniques</t>
  </si>
  <si>
    <t>.vi</t>
  </si>
  <si>
    <t>VI</t>
  </si>
  <si>
    <t>Amerikanische Jungferninseln</t>
  </si>
  <si>
    <t xml:space="preserve">Isole Vergini americane </t>
  </si>
  <si>
    <t xml:space="preserve">Virgin Islands, U.S. </t>
  </si>
  <si>
    <t>Islas Vírgenes de los Estados Unidos</t>
  </si>
  <si>
    <t>Îles Vierges des États-Unis</t>
  </si>
  <si>
    <t>.vn</t>
  </si>
  <si>
    <t>VN</t>
  </si>
  <si>
    <t xml:space="preserve">Vietnam </t>
  </si>
  <si>
    <t xml:space="preserve">Viet Nam </t>
  </si>
  <si>
    <t>.vu</t>
  </si>
  <si>
    <t>VU</t>
  </si>
  <si>
    <t xml:space="preserve">Vanuatu </t>
  </si>
  <si>
    <t>.ws</t>
  </si>
  <si>
    <t>WS</t>
  </si>
  <si>
    <t xml:space="preserve">Samoa </t>
  </si>
  <si>
    <t>XK</t>
  </si>
  <si>
    <t>.ye</t>
  </si>
  <si>
    <t>YE</t>
  </si>
  <si>
    <t>Jemen</t>
  </si>
  <si>
    <t xml:space="preserve">Yemen </t>
  </si>
  <si>
    <t>Yemen</t>
  </si>
  <si>
    <t>.za</t>
  </si>
  <si>
    <t>ZA</t>
  </si>
  <si>
    <t>Südafrika</t>
  </si>
  <si>
    <t xml:space="preserve">Sudafrica </t>
  </si>
  <si>
    <t xml:space="preserve">South Africa </t>
  </si>
  <si>
    <t>Sudáfrica</t>
  </si>
  <si>
    <t>Afrique du Sud</t>
  </si>
  <si>
    <t>.zm</t>
  </si>
  <si>
    <t>ZM</t>
  </si>
  <si>
    <t>Sambia</t>
  </si>
  <si>
    <t xml:space="preserve">Zambia </t>
  </si>
  <si>
    <t>Zambie</t>
  </si>
  <si>
    <t>.zw</t>
  </si>
  <si>
    <t>ZW</t>
  </si>
  <si>
    <t>Simbabwe</t>
  </si>
  <si>
    <t xml:space="preserve">Zimbabwe </t>
  </si>
  <si>
    <t>Zimbabue</t>
  </si>
  <si>
    <t>Durchschnitt Afrika</t>
  </si>
  <si>
    <t>media Africa</t>
  </si>
  <si>
    <t>Media África</t>
  </si>
  <si>
    <t>Durchschnitt Amerika</t>
  </si>
  <si>
    <t>media America</t>
  </si>
  <si>
    <t>Media Américas</t>
  </si>
  <si>
    <t>Durchschnitt Asien</t>
  </si>
  <si>
    <t>media Asia</t>
  </si>
  <si>
    <t>Media Asia</t>
  </si>
  <si>
    <t>Durchschnitt Europa</t>
  </si>
  <si>
    <t>media Europa</t>
  </si>
  <si>
    <t>Media Europa</t>
  </si>
  <si>
    <t>Durchschnitt Ozeanien</t>
  </si>
  <si>
    <t>media Ozeania</t>
  </si>
  <si>
    <t>Media Oceanía</t>
  </si>
  <si>
    <t>Durchschnitt Welt</t>
  </si>
  <si>
    <t>media mondo</t>
  </si>
  <si>
    <t>Media Mundo</t>
  </si>
  <si>
    <t>provenienza prevalente del resto dei fornitori</t>
  </si>
  <si>
    <t>Origen predominante del resto de proveedores</t>
  </si>
  <si>
    <t>Welfare aziendale, retribuzione e organizzazione del lavoro</t>
  </si>
  <si>
    <t>Arab World</t>
  </si>
  <si>
    <t>Central Europe and the Baltics</t>
  </si>
  <si>
    <t>Channel Islands</t>
  </si>
  <si>
    <t>Caribbean small states</t>
  </si>
  <si>
    <t>East Asia &amp; Pacific (excluding high income)</t>
  </si>
  <si>
    <t>Early-demographic dividend</t>
  </si>
  <si>
    <t>East Asia &amp; Pacific</t>
  </si>
  <si>
    <t>Europe &amp; Central Asia (excluding high income)</t>
  </si>
  <si>
    <t>Europe &amp; Central Asia</t>
  </si>
  <si>
    <t>Euro area</t>
  </si>
  <si>
    <t>European Union</t>
  </si>
  <si>
    <t>Fragile and conflict affected situations</t>
  </si>
  <si>
    <t>High income</t>
  </si>
  <si>
    <t>Heavily indebted poor countries (HIPC)</t>
  </si>
  <si>
    <t>IBRD only</t>
  </si>
  <si>
    <t>IDA &amp; IBRD total</t>
  </si>
  <si>
    <t>IDA total</t>
  </si>
  <si>
    <t>IDA blend</t>
  </si>
  <si>
    <t>IDA only</t>
  </si>
  <si>
    <t>Not classified</t>
  </si>
  <si>
    <t>Latin America &amp; Caribbean (excluding high income)</t>
  </si>
  <si>
    <t>Latin America &amp; Caribbean</t>
  </si>
  <si>
    <t>Least developed countries: UN classification</t>
  </si>
  <si>
    <t>Low income</t>
  </si>
  <si>
    <t>Lower middle income</t>
  </si>
  <si>
    <t>Low &amp; middle income</t>
  </si>
  <si>
    <t>Late-demographic dividend</t>
  </si>
  <si>
    <t>Middle East &amp; North Africa</t>
  </si>
  <si>
    <t>Middle income</t>
  </si>
  <si>
    <t>Middle East &amp; North Africa (excluding high income)</t>
  </si>
  <si>
    <t>North America</t>
  </si>
  <si>
    <t>OECD members</t>
  </si>
  <si>
    <t>Other small states</t>
  </si>
  <si>
    <t>Pre-demographic dividend</t>
  </si>
  <si>
    <t>Pacific island small states</t>
  </si>
  <si>
    <t>Post-demographic dividend</t>
  </si>
  <si>
    <t>South Asia</t>
  </si>
  <si>
    <t>Sub-Saharan Africa (excluding high income)</t>
  </si>
  <si>
    <t>Sub-Saharan Africa</t>
  </si>
  <si>
    <t>Small states</t>
  </si>
  <si>
    <t>East Asia &amp; Pacific (IDA &amp; IBRD countries)</t>
  </si>
  <si>
    <t>Europe &amp; Central Asia (IDA &amp; IBRD countries)</t>
  </si>
  <si>
    <t>Latin America &amp; the Caribbean (IDA &amp; IBRD countries)</t>
  </si>
  <si>
    <t>Middle East &amp; North Africa (IDA &amp; IBRD countries)</t>
  </si>
  <si>
    <t>South Asia (IDA &amp; IBRD)</t>
  </si>
  <si>
    <t>Sub-Saharan Africa (IDA &amp; IBRD countries)</t>
  </si>
  <si>
    <t>Upper middle income</t>
  </si>
  <si>
    <t>Exchange Rate $ 2017</t>
  </si>
  <si>
    <t>ppp gdp conversion factor 2017</t>
  </si>
  <si>
    <t>Exchange Rate country 2017 (oanda)</t>
  </si>
  <si>
    <t>conversion factor</t>
  </si>
  <si>
    <t>Regional Estimate calculationen</t>
  </si>
  <si>
    <t>Select your language</t>
  </si>
  <si>
    <t xml:space="preserve">Gewichtung geändert. Ursprünglich </t>
  </si>
  <si>
    <t xml:space="preserve">Peso cambiato. Originale </t>
  </si>
  <si>
    <t xml:space="preserve">Weighting changed. Original </t>
  </si>
  <si>
    <t xml:space="preserve">Ponderación cambiada. Original </t>
  </si>
  <si>
    <t>PPP Factor</t>
  </si>
  <si>
    <t>ITUC</t>
  </si>
  <si>
    <t>Introduce value between 0 and 10</t>
  </si>
  <si>
    <t>Introduce negative points between 0 and -200</t>
  </si>
  <si>
    <t>fehlerhafte Eingabe</t>
  </si>
  <si>
    <t>Values are not consistent</t>
  </si>
  <si>
    <t>Los valores no son consistentes</t>
  </si>
  <si>
    <t xml:space="preserve">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</si>
</sst>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 %"/>
    <numFmt numFmtId="165" formatCode="0.0"/>
    <numFmt numFmtId="166" formatCode="* #,##0.00\ ;\-* #,##0.00\ ;* \-#\ ;@\ "/>
    <numFmt numFmtId="167" formatCode="* #,##0\ ;\-* #,##0\ ;* \-#\ ;@\ "/>
    <numFmt numFmtId="168" formatCode="0.000"/>
    <numFmt numFmtId="169" formatCode="#,##0.0_ ;\-#,##0.0\ "/>
    <numFmt numFmtId="170" formatCode="* #,##0.0\ ;\-* #,##0.0\ ;* \-#\ ;@\ "/>
    <numFmt numFmtId="171" formatCode="#,##0.0"/>
    <numFmt numFmtId="172" formatCode="* #,##0.000\ ;\-* #,##0.000\ ;* \-#.0\ ;@\ "/>
  </numFmts>
  <fonts count="93">
    <font>
      <sz val="11"/>
      <color indexed="8"/>
      <name val="Calibri"/>
      <family val="2"/>
    </font>
    <font>
      <sz val="10"/>
      <name val="Arial"/>
    </font>
    <font>
      <sz val="10"/>
      <color indexed="9"/>
      <name val="Calibri"/>
      <family val="2"/>
    </font>
    <font>
      <b/>
      <sz val="10"/>
      <color indexed="8"/>
      <name val="Calibri"/>
      <family val="2"/>
    </font>
    <font>
      <sz val="10"/>
      <color indexed="16"/>
      <name val="Calibri"/>
      <family val="2"/>
    </font>
    <font>
      <b/>
      <sz val="10"/>
      <color indexed="9"/>
      <name val="Calibri"/>
      <family val="2"/>
    </font>
    <font>
      <i/>
      <sz val="10"/>
      <color indexed="23"/>
      <name val="Calibri"/>
      <family val="2"/>
    </font>
    <font>
      <sz val="10"/>
      <color indexed="58"/>
      <name val="Calibri"/>
      <family val="2"/>
    </font>
    <font>
      <sz val="18"/>
      <color indexed="8"/>
      <name val="Calibri"/>
      <family val="2"/>
    </font>
    <font>
      <sz val="12"/>
      <color indexed="8"/>
      <name val="Calibri"/>
      <family val="2"/>
    </font>
    <font>
      <b/>
      <sz val="24"/>
      <color indexed="8"/>
      <name val="Calibri"/>
      <family val="2"/>
    </font>
    <font>
      <sz val="10"/>
      <color indexed="63"/>
      <name val="Calibri"/>
      <family val="2"/>
    </font>
    <font>
      <sz val="11"/>
      <color indexed="8"/>
      <name val="Arial"/>
      <family val="2"/>
    </font>
    <font>
      <b/>
      <sz val="16"/>
      <color indexed="50"/>
      <name val="Arial"/>
      <family val="2"/>
    </font>
    <font>
      <b/>
      <sz val="11"/>
      <color indexed="63"/>
      <name val="Arial"/>
      <family val="2"/>
    </font>
    <font>
      <b/>
      <sz val="11"/>
      <color indexed="50"/>
      <name val="Arial"/>
      <family val="2"/>
    </font>
    <font>
      <sz val="11"/>
      <color indexed="63"/>
      <name val="Arial"/>
      <family val="2"/>
    </font>
    <font>
      <u/>
      <sz val="11"/>
      <color indexed="12"/>
      <name val="Calibri"/>
      <family val="2"/>
    </font>
    <font>
      <b/>
      <u/>
      <sz val="11"/>
      <name val="Arial"/>
      <family val="2"/>
    </font>
    <font>
      <b/>
      <u/>
      <sz val="11"/>
      <color indexed="8"/>
      <name val="Arial"/>
      <family val="2"/>
    </font>
    <font>
      <sz val="11"/>
      <name val="Arial"/>
      <family val="2"/>
    </font>
    <font>
      <sz val="11"/>
      <color indexed="50"/>
      <name val="Arial"/>
      <family val="2"/>
    </font>
    <font>
      <b/>
      <sz val="11"/>
      <color indexed="9"/>
      <name val="Arial"/>
      <family val="2"/>
    </font>
    <font>
      <sz val="16"/>
      <color indexed="8"/>
      <name val="Arial"/>
      <family val="2"/>
    </font>
    <font>
      <sz val="11"/>
      <color indexed="9"/>
      <name val="Arial"/>
      <family val="2"/>
    </font>
    <font>
      <b/>
      <sz val="11"/>
      <color indexed="8"/>
      <name val="Arial"/>
      <family val="2"/>
    </font>
    <font>
      <b/>
      <sz val="11"/>
      <color indexed="60"/>
      <name val="Arial"/>
      <family val="2"/>
    </font>
    <font>
      <sz val="8"/>
      <color indexed="8"/>
      <name val="Arial"/>
      <family val="2"/>
    </font>
    <font>
      <sz val="6"/>
      <color indexed="8"/>
      <name val="Arial"/>
      <family val="2"/>
    </font>
    <font>
      <b/>
      <sz val="8"/>
      <color indexed="10"/>
      <name val="Arial"/>
      <family val="2"/>
    </font>
    <font>
      <sz val="11"/>
      <color indexed="9"/>
      <name val="Calibri"/>
      <family val="2"/>
    </font>
    <font>
      <b/>
      <sz val="9"/>
      <color indexed="63"/>
      <name val="Arial"/>
      <family val="2"/>
    </font>
    <font>
      <b/>
      <sz val="11"/>
      <color indexed="10"/>
      <name val="Arial"/>
      <family val="2"/>
    </font>
    <font>
      <sz val="9"/>
      <color indexed="50"/>
      <name val="Arial"/>
      <family val="2"/>
    </font>
    <font>
      <sz val="9"/>
      <name val="Arial"/>
      <family val="2"/>
    </font>
    <font>
      <sz val="11"/>
      <color indexed="22"/>
      <name val="Arial"/>
      <family val="2"/>
    </font>
    <font>
      <b/>
      <sz val="9"/>
      <color indexed="50"/>
      <name val="Arial"/>
      <family val="2"/>
    </font>
    <font>
      <b/>
      <sz val="9"/>
      <color indexed="9"/>
      <name val="Arial"/>
      <family val="2"/>
    </font>
    <font>
      <sz val="9"/>
      <color indexed="8"/>
      <name val="Calibri"/>
      <family val="2"/>
    </font>
    <font>
      <sz val="9"/>
      <color indexed="8"/>
      <name val="Cambria"/>
      <family val="1"/>
    </font>
    <font>
      <b/>
      <sz val="12"/>
      <color indexed="8"/>
      <name val="Cambria"/>
      <family val="1"/>
    </font>
    <font>
      <sz val="8"/>
      <color indexed="9"/>
      <name val="Cambria"/>
      <family val="1"/>
    </font>
    <font>
      <b/>
      <sz val="9"/>
      <color indexed="8"/>
      <name val="Cambria"/>
      <family val="1"/>
    </font>
    <font>
      <b/>
      <sz val="50"/>
      <color indexed="8"/>
      <name val="Cambria"/>
      <family val="1"/>
    </font>
    <font>
      <b/>
      <sz val="25"/>
      <color indexed="8"/>
      <name val="Cambria"/>
      <family val="1"/>
    </font>
    <font>
      <sz val="15"/>
      <color indexed="9"/>
      <name val="Cambria"/>
      <family val="1"/>
    </font>
    <font>
      <b/>
      <sz val="8"/>
      <color indexed="8"/>
      <name val="Cambria"/>
      <family val="1"/>
    </font>
    <font>
      <sz val="8"/>
      <color indexed="8"/>
      <name val="Cambria"/>
      <family val="1"/>
    </font>
    <font>
      <b/>
      <sz val="8"/>
      <color indexed="60"/>
      <name val="Cambria"/>
      <family val="1"/>
    </font>
    <font>
      <b/>
      <sz val="8"/>
      <color indexed="9"/>
      <name val="Cambria"/>
      <family val="1"/>
    </font>
    <font>
      <b/>
      <sz val="8"/>
      <name val="Cambria"/>
      <family val="1"/>
    </font>
    <font>
      <b/>
      <sz val="20"/>
      <color indexed="8"/>
      <name val="Cambria"/>
      <family val="1"/>
    </font>
    <font>
      <b/>
      <sz val="12"/>
      <color indexed="9"/>
      <name val="Cambria"/>
      <family val="1"/>
    </font>
    <font>
      <b/>
      <sz val="15"/>
      <color indexed="9"/>
      <name val="Cambria"/>
      <family val="1"/>
    </font>
    <font>
      <b/>
      <sz val="9"/>
      <color indexed="9"/>
      <name val="Cambria"/>
      <family val="1"/>
    </font>
    <font>
      <sz val="8"/>
      <color indexed="10"/>
      <name val="Cambria"/>
      <family val="1"/>
    </font>
    <font>
      <sz val="8"/>
      <name val="Cambria"/>
      <family val="1"/>
    </font>
    <font>
      <sz val="9"/>
      <color indexed="10"/>
      <name val="Cambria"/>
      <family val="1"/>
    </font>
    <font>
      <sz val="8"/>
      <color indexed="8"/>
      <name val="Segoe UI"/>
      <family val="2"/>
    </font>
    <font>
      <b/>
      <sz val="8"/>
      <color indexed="8"/>
      <name val="Segoe UI"/>
      <family val="2"/>
    </font>
    <font>
      <b/>
      <sz val="10"/>
      <color indexed="63"/>
      <name val="Arial"/>
      <family val="2"/>
    </font>
    <font>
      <sz val="10"/>
      <color indexed="50"/>
      <name val="Arial"/>
      <family val="2"/>
    </font>
    <font>
      <b/>
      <sz val="15"/>
      <color indexed="50"/>
      <name val="Arial"/>
      <family val="2"/>
    </font>
    <font>
      <sz val="10"/>
      <color indexed="9"/>
      <name val="Arial"/>
      <family val="2"/>
    </font>
    <font>
      <b/>
      <sz val="10"/>
      <color indexed="9"/>
      <name val="Arial"/>
      <family val="2"/>
    </font>
    <font>
      <sz val="10"/>
      <color indexed="63"/>
      <name val="Arial"/>
      <family val="2"/>
    </font>
    <font>
      <b/>
      <sz val="11"/>
      <color indexed="8"/>
      <name val="Calibri"/>
      <family val="2"/>
    </font>
    <font>
      <sz val="11"/>
      <name val="Wingdings 3"/>
      <family val="1"/>
    </font>
    <font>
      <b/>
      <sz val="11"/>
      <color indexed="11"/>
      <name val="Arial"/>
      <family val="2"/>
    </font>
    <font>
      <sz val="9"/>
      <color indexed="8"/>
      <name val="Arial"/>
      <family val="2"/>
    </font>
    <font>
      <sz val="8"/>
      <color indexed="9"/>
      <name val="Arial"/>
      <family val="2"/>
    </font>
    <font>
      <b/>
      <sz val="8"/>
      <color indexed="9"/>
      <name val="Arial"/>
      <family val="2"/>
    </font>
    <font>
      <b/>
      <sz val="8"/>
      <color indexed="8"/>
      <name val="Arial"/>
      <family val="2"/>
    </font>
    <font>
      <b/>
      <sz val="7"/>
      <color indexed="8"/>
      <name val="Arial"/>
      <family val="2"/>
    </font>
    <font>
      <sz val="7"/>
      <color indexed="8"/>
      <name val="Arial"/>
      <family val="2"/>
    </font>
    <font>
      <sz val="8"/>
      <color indexed="60"/>
      <name val="Arial"/>
      <family val="2"/>
    </font>
    <font>
      <b/>
      <sz val="12"/>
      <color indexed="8"/>
      <name val="Arial"/>
      <family val="2"/>
    </font>
    <font>
      <b/>
      <sz val="9"/>
      <color indexed="8"/>
      <name val="Calibri"/>
      <family val="2"/>
    </font>
    <font>
      <sz val="11"/>
      <color indexed="10"/>
      <name val="Calibri"/>
      <family val="2"/>
    </font>
    <font>
      <u/>
      <sz val="11"/>
      <color indexed="8"/>
      <name val="Calibri"/>
      <family val="2"/>
    </font>
    <font>
      <sz val="11"/>
      <color indexed="62"/>
      <name val="Calibri"/>
      <family val="2"/>
    </font>
    <font>
      <sz val="11"/>
      <color indexed="62"/>
      <name val="Arial"/>
      <family val="1"/>
    </font>
    <font>
      <sz val="11"/>
      <color indexed="17"/>
      <name val="Calibri"/>
      <family val="2"/>
    </font>
    <font>
      <sz val="11"/>
      <color indexed="12"/>
      <name val="Arial"/>
      <family val="2"/>
    </font>
    <font>
      <sz val="8"/>
      <color indexed="12"/>
      <name val="Arial"/>
      <family val="2"/>
    </font>
    <font>
      <sz val="11"/>
      <color indexed="8"/>
      <name val="ArialMT"/>
    </font>
    <font>
      <sz val="10"/>
      <name val="Verdana"/>
      <family val="2"/>
    </font>
    <font>
      <sz val="11"/>
      <color indexed="8"/>
      <name val="Calibri"/>
      <family val="2"/>
    </font>
    <font>
      <sz val="10"/>
      <color indexed="8"/>
      <name val="Arial"/>
      <family val="2"/>
    </font>
    <font>
      <sz val="11"/>
      <color theme="1"/>
      <name val="Calibri"/>
      <scheme val="minor"/>
    </font>
    <font>
      <b/>
      <sz val="11"/>
      <color rgb="FFFF0000"/>
      <name val="Arial"/>
      <family val="2"/>
    </font>
    <font>
      <sz val="11"/>
      <color rgb="FFFF0000"/>
      <name val="Arial"/>
      <family val="2"/>
    </font>
    <font>
      <b/>
      <sz val="12"/>
      <color theme="0"/>
      <name val="Arial"/>
      <family val="2"/>
    </font>
  </fonts>
  <fills count="25">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27"/>
      </patternFill>
    </fill>
    <fill>
      <patternFill patternType="solid">
        <fgColor indexed="43"/>
        <bgColor indexed="47"/>
      </patternFill>
    </fill>
    <fill>
      <patternFill patternType="solid">
        <fgColor indexed="16"/>
        <bgColor indexed="60"/>
      </patternFill>
    </fill>
    <fill>
      <patternFill patternType="solid">
        <fgColor indexed="42"/>
        <bgColor indexed="41"/>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
      <patternFill patternType="solid">
        <fgColor indexed="59"/>
        <bgColor indexed="63"/>
      </patternFill>
    </fill>
    <fill>
      <patternFill patternType="solid">
        <fgColor indexed="50"/>
        <bgColor indexed="51"/>
      </patternFill>
    </fill>
    <fill>
      <patternFill patternType="solid">
        <fgColor indexed="44"/>
        <bgColor indexed="24"/>
      </patternFill>
    </fill>
    <fill>
      <patternFill patternType="solid">
        <fgColor indexed="25"/>
        <bgColor indexed="23"/>
      </patternFill>
    </fill>
    <fill>
      <patternFill patternType="solid">
        <fgColor indexed="47"/>
        <bgColor indexed="43"/>
      </patternFill>
    </fill>
    <fill>
      <patternFill patternType="solid">
        <fgColor indexed="34"/>
        <bgColor indexed="13"/>
      </patternFill>
    </fill>
    <fill>
      <patternFill patternType="solid">
        <fgColor indexed="60"/>
        <bgColor indexed="16"/>
      </patternFill>
    </fill>
    <fill>
      <patternFill patternType="solid">
        <fgColor indexed="27"/>
        <bgColor indexed="31"/>
      </patternFill>
    </fill>
    <fill>
      <patternFill patternType="solid">
        <fgColor indexed="53"/>
        <bgColor indexed="29"/>
      </patternFill>
    </fill>
    <fill>
      <patternFill patternType="solid">
        <fgColor indexed="29"/>
        <bgColor indexed="53"/>
      </patternFill>
    </fill>
    <fill>
      <patternFill patternType="solid">
        <fgColor indexed="49"/>
        <bgColor indexed="11"/>
      </patternFill>
    </fill>
    <fill>
      <patternFill patternType="solid">
        <fgColor indexed="51"/>
        <bgColor indexed="50"/>
      </patternFill>
    </fill>
    <fill>
      <patternFill patternType="solid">
        <fgColor rgb="FFFFFF00"/>
        <bgColor indexed="64"/>
      </patternFill>
    </fill>
    <fill>
      <patternFill patternType="solid">
        <fgColor rgb="FF99CC00"/>
        <bgColor indexed="26"/>
      </patternFill>
    </fill>
  </fills>
  <borders count="115">
    <border>
      <left/>
      <right/>
      <top/>
      <bottom/>
      <diagonal/>
    </border>
    <border>
      <left style="thin">
        <color indexed="23"/>
      </left>
      <right style="thin">
        <color indexed="23"/>
      </right>
      <top style="thin">
        <color indexed="23"/>
      </top>
      <bottom style="thin">
        <color indexed="23"/>
      </bottom>
      <diagonal/>
    </border>
    <border>
      <left/>
      <right/>
      <top style="thin">
        <color indexed="55"/>
      </top>
      <bottom style="thin">
        <color indexed="55"/>
      </bottom>
      <diagonal/>
    </border>
    <border>
      <left/>
      <right/>
      <top style="thin">
        <color indexed="50"/>
      </top>
      <bottom style="thin">
        <color indexed="50"/>
      </bottom>
      <diagonal/>
    </border>
    <border>
      <left/>
      <right/>
      <top style="thin">
        <color indexed="8"/>
      </top>
      <bottom/>
      <diagonal/>
    </border>
    <border>
      <left/>
      <right/>
      <top/>
      <bottom style="thin">
        <color indexed="8"/>
      </bottom>
      <diagonal/>
    </border>
    <border>
      <left/>
      <right/>
      <top style="thin">
        <color indexed="55"/>
      </top>
      <bottom/>
      <diagonal/>
    </border>
    <border>
      <left/>
      <right/>
      <top/>
      <bottom style="thin">
        <color indexed="50"/>
      </bottom>
      <diagonal/>
    </border>
    <border>
      <left/>
      <right/>
      <top/>
      <bottom style="thin">
        <color indexed="55"/>
      </bottom>
      <diagonal/>
    </border>
    <border>
      <left/>
      <right/>
      <top style="thin">
        <color indexed="50"/>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ck">
        <color indexed="25"/>
      </left>
      <right style="thick">
        <color indexed="25"/>
      </right>
      <top style="thick">
        <color indexed="25"/>
      </top>
      <bottom style="thick">
        <color indexed="25"/>
      </bottom>
      <diagonal/>
    </border>
    <border>
      <left style="thick">
        <color indexed="60"/>
      </left>
      <right style="thick">
        <color indexed="60"/>
      </right>
      <top style="thick">
        <color indexed="60"/>
      </top>
      <bottom style="thick">
        <color indexed="60"/>
      </bottom>
      <diagonal/>
    </border>
    <border>
      <left/>
      <right/>
      <top style="dashed">
        <color indexed="8"/>
      </top>
      <bottom/>
      <diagonal/>
    </border>
    <border>
      <left style="dashed">
        <color indexed="8"/>
      </left>
      <right style="dashed">
        <color indexed="8"/>
      </right>
      <top/>
      <bottom/>
      <diagonal/>
    </border>
    <border>
      <left/>
      <right style="dotted">
        <color indexed="8"/>
      </right>
      <top/>
      <bottom/>
      <diagonal/>
    </border>
    <border>
      <left style="dotted">
        <color indexed="8"/>
      </left>
      <right style="dotted">
        <color indexed="8"/>
      </right>
      <top/>
      <bottom/>
      <diagonal/>
    </border>
    <border>
      <left style="dotted">
        <color indexed="8"/>
      </left>
      <right/>
      <top/>
      <bottom/>
      <diagonal/>
    </border>
    <border>
      <left style="thick">
        <color indexed="60"/>
      </left>
      <right/>
      <top style="thick">
        <color indexed="60"/>
      </top>
      <bottom/>
      <diagonal/>
    </border>
    <border>
      <left style="dashed">
        <color indexed="8"/>
      </left>
      <right style="dashed">
        <color indexed="8"/>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style="dashed">
        <color indexed="8"/>
      </left>
      <right style="dashed">
        <color indexed="8"/>
      </right>
      <top/>
      <bottom style="thick">
        <color indexed="60"/>
      </bottom>
      <diagonal/>
    </border>
    <border>
      <left/>
      <right style="thick">
        <color indexed="60"/>
      </right>
      <top/>
      <bottom style="thick">
        <color indexed="60"/>
      </bottom>
      <diagonal/>
    </border>
    <border>
      <left style="medium">
        <color indexed="8"/>
      </left>
      <right/>
      <top/>
      <bottom style="medium">
        <color indexed="8"/>
      </bottom>
      <diagonal/>
    </border>
    <border>
      <left/>
      <right/>
      <top/>
      <bottom style="medium">
        <color indexed="8"/>
      </bottom>
      <diagonal/>
    </border>
    <border>
      <left/>
      <right style="dotted">
        <color indexed="8"/>
      </right>
      <top/>
      <bottom style="medium">
        <color indexed="8"/>
      </bottom>
      <diagonal/>
    </border>
    <border>
      <left style="dotted">
        <color indexed="8"/>
      </left>
      <right style="dotted">
        <color indexed="8"/>
      </right>
      <top/>
      <bottom style="medium">
        <color indexed="8"/>
      </bottom>
      <diagonal/>
    </border>
    <border>
      <left style="dotted">
        <color indexed="8"/>
      </left>
      <right/>
      <top/>
      <bottom style="medium">
        <color indexed="8"/>
      </bottom>
      <diagonal/>
    </border>
    <border>
      <left/>
      <right style="medium">
        <color indexed="8"/>
      </right>
      <top/>
      <bottom style="medium">
        <color indexed="8"/>
      </bottom>
      <diagonal/>
    </border>
    <border>
      <left/>
      <right/>
      <top style="dashed">
        <color indexed="8"/>
      </top>
      <bottom style="dashed">
        <color indexed="8"/>
      </bottom>
      <diagonal/>
    </border>
    <border>
      <left style="thick">
        <color indexed="60"/>
      </left>
      <right style="thick">
        <color indexed="60"/>
      </right>
      <top style="thick">
        <color indexed="60"/>
      </top>
      <bottom style="dashed">
        <color indexed="8"/>
      </bottom>
      <diagonal/>
    </border>
    <border>
      <left style="thick">
        <color indexed="60"/>
      </left>
      <right style="thick">
        <color indexed="60"/>
      </right>
      <top/>
      <bottom/>
      <diagonal/>
    </border>
    <border>
      <left style="thick">
        <color indexed="60"/>
      </left>
      <right style="thick">
        <color indexed="60"/>
      </right>
      <top style="dashed">
        <color indexed="8"/>
      </top>
      <bottom style="dashed">
        <color indexed="8"/>
      </bottom>
      <diagonal/>
    </border>
    <border>
      <left/>
      <right/>
      <top style="dashed">
        <color indexed="8"/>
      </top>
      <bottom style="medium">
        <color indexed="8"/>
      </bottom>
      <diagonal/>
    </border>
    <border>
      <left style="thick">
        <color indexed="60"/>
      </left>
      <right style="thick">
        <color indexed="60"/>
      </right>
      <top/>
      <bottom style="medium">
        <color indexed="8"/>
      </bottom>
      <diagonal/>
    </border>
    <border>
      <left style="thick">
        <color indexed="60"/>
      </left>
      <right style="thick">
        <color indexed="60"/>
      </right>
      <top style="dashed">
        <color indexed="8"/>
      </top>
      <bottom/>
      <diagonal/>
    </border>
    <border>
      <left style="thick">
        <color indexed="60"/>
      </left>
      <right/>
      <top/>
      <bottom style="dashed">
        <color indexed="8"/>
      </bottom>
      <diagonal/>
    </border>
    <border>
      <left/>
      <right style="thick">
        <color indexed="60"/>
      </right>
      <top/>
      <bottom style="dashed">
        <color indexed="8"/>
      </bottom>
      <diagonal/>
    </border>
    <border>
      <left style="thick">
        <color indexed="60"/>
      </left>
      <right/>
      <top style="dashed">
        <color indexed="8"/>
      </top>
      <bottom style="dashed">
        <color indexed="8"/>
      </bottom>
      <diagonal/>
    </border>
    <border>
      <left/>
      <right style="thick">
        <color indexed="60"/>
      </right>
      <top style="dashed">
        <color indexed="8"/>
      </top>
      <bottom style="dashed">
        <color indexed="8"/>
      </bottom>
      <diagonal/>
    </border>
    <border>
      <left style="thick">
        <color indexed="60"/>
      </left>
      <right/>
      <top style="dashed">
        <color indexed="8"/>
      </top>
      <bottom style="thick">
        <color indexed="60"/>
      </bottom>
      <diagonal/>
    </border>
    <border>
      <left/>
      <right style="thick">
        <color indexed="60"/>
      </right>
      <top style="dashed">
        <color indexed="8"/>
      </top>
      <bottom/>
      <diagonal/>
    </border>
    <border>
      <left style="thick">
        <color indexed="60"/>
      </left>
      <right style="thick">
        <color indexed="60"/>
      </right>
      <top/>
      <bottom style="dashed">
        <color indexed="8"/>
      </bottom>
      <diagonal/>
    </border>
    <border>
      <left style="thick">
        <color indexed="60"/>
      </left>
      <right style="thick">
        <color indexed="60"/>
      </right>
      <top/>
      <bottom style="thick">
        <color indexed="60"/>
      </bottom>
      <diagonal/>
    </border>
    <border>
      <left style="thick">
        <color indexed="60"/>
      </left>
      <right style="thick">
        <color indexed="60"/>
      </right>
      <top style="thick">
        <color indexed="60"/>
      </top>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ck">
        <color indexed="50"/>
      </bottom>
      <diagonal/>
    </border>
    <border>
      <left/>
      <right/>
      <top/>
      <bottom style="dashed">
        <color indexed="50"/>
      </bottom>
      <diagonal/>
    </border>
    <border>
      <left/>
      <right/>
      <top style="dashed">
        <color indexed="50"/>
      </top>
      <bottom style="dashed">
        <color indexed="50"/>
      </bottom>
      <diagonal/>
    </border>
    <border>
      <left/>
      <right/>
      <top style="dashed">
        <color indexed="50"/>
      </top>
      <bottom/>
      <diagonal/>
    </border>
    <border>
      <left style="medium">
        <color indexed="8"/>
      </left>
      <right/>
      <top style="dashed">
        <color indexed="8"/>
      </top>
      <bottom style="dashed">
        <color indexed="8"/>
      </bottom>
      <diagonal/>
    </border>
    <border>
      <left/>
      <right style="medium">
        <color indexed="8"/>
      </right>
      <top style="dashed">
        <color indexed="8"/>
      </top>
      <bottom style="dashed">
        <color indexed="8"/>
      </bottom>
      <diagonal/>
    </border>
    <border>
      <left style="medium">
        <color indexed="8"/>
      </left>
      <right/>
      <top style="medium">
        <color indexed="8"/>
      </top>
      <bottom style="dotted">
        <color indexed="8"/>
      </bottom>
      <diagonal/>
    </border>
    <border>
      <left/>
      <right/>
      <top style="medium">
        <color indexed="8"/>
      </top>
      <bottom style="dotted">
        <color indexed="8"/>
      </bottom>
      <diagonal/>
    </border>
    <border>
      <left/>
      <right style="medium">
        <color indexed="8"/>
      </right>
      <top style="medium">
        <color indexed="8"/>
      </top>
      <bottom style="dotted">
        <color indexed="8"/>
      </bottom>
      <diagonal/>
    </border>
    <border>
      <left style="medium">
        <color indexed="8"/>
      </left>
      <right/>
      <top style="dotted">
        <color indexed="8"/>
      </top>
      <bottom style="dotted">
        <color indexed="8"/>
      </bottom>
      <diagonal/>
    </border>
    <border>
      <left/>
      <right style="medium">
        <color indexed="8"/>
      </right>
      <top style="dotted">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diagonal/>
    </border>
    <border>
      <left style="medium">
        <color indexed="8"/>
      </left>
      <right/>
      <top style="dotted">
        <color indexed="8"/>
      </top>
      <bottom/>
      <diagonal/>
    </border>
    <border>
      <left/>
      <right/>
      <top style="dotted">
        <color indexed="8"/>
      </top>
      <bottom/>
      <diagonal/>
    </border>
    <border>
      <left/>
      <right style="medium">
        <color indexed="8"/>
      </right>
      <top style="dashed">
        <color indexed="8"/>
      </top>
      <bottom style="dotted">
        <color indexed="8"/>
      </bottom>
      <diagonal/>
    </border>
    <border>
      <left style="medium">
        <color indexed="8"/>
      </left>
      <right/>
      <top/>
      <bottom style="dotted">
        <color indexed="8"/>
      </bottom>
      <diagonal/>
    </border>
    <border>
      <left/>
      <right style="medium">
        <color indexed="8"/>
      </right>
      <top/>
      <bottom style="dotted">
        <color indexed="8"/>
      </bottom>
      <diagonal/>
    </border>
    <border>
      <left/>
      <right/>
      <top/>
      <bottom style="dotted">
        <color indexed="8"/>
      </bottom>
      <diagonal/>
    </border>
    <border>
      <left style="medium">
        <color indexed="8"/>
      </left>
      <right/>
      <top style="dashed">
        <color indexed="8"/>
      </top>
      <bottom style="medium">
        <color indexed="8"/>
      </bottom>
      <diagonal/>
    </border>
    <border>
      <left/>
      <right style="medium">
        <color indexed="8"/>
      </right>
      <top style="dashed">
        <color indexed="8"/>
      </top>
      <bottom style="medium">
        <color indexed="8"/>
      </bottom>
      <diagonal/>
    </border>
    <border>
      <left style="medium">
        <color indexed="8"/>
      </left>
      <right/>
      <top style="dotted">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ck">
        <color indexed="60"/>
      </left>
      <right/>
      <top style="thick">
        <color indexed="60"/>
      </top>
      <bottom style="thick">
        <color indexed="60"/>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hair">
        <color indexed="8"/>
      </left>
      <right style="hair">
        <color indexed="8"/>
      </right>
      <top style="hair">
        <color indexed="8"/>
      </top>
      <bottom style="hair">
        <color indexed="8"/>
      </bottom>
      <diagonal/>
    </border>
    <border>
      <left/>
      <right/>
      <top style="hair">
        <color indexed="19"/>
      </top>
      <bottom style="hair">
        <color indexed="19"/>
      </bottom>
      <diagonal/>
    </border>
    <border>
      <left/>
      <right/>
      <top/>
      <bottom style="hair">
        <color indexed="24"/>
      </bottom>
      <diagonal/>
    </border>
    <border>
      <left/>
      <right/>
      <top style="hair">
        <color indexed="19"/>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55"/>
      </top>
      <bottom style="thin">
        <color indexed="50"/>
      </bottom>
      <diagonal/>
    </border>
    <border>
      <left/>
      <right/>
      <top style="medium">
        <color indexed="8"/>
      </top>
      <bottom style="medium">
        <color indexed="8"/>
      </bottom>
      <diagonal/>
    </border>
    <border>
      <left/>
      <right style="dotted">
        <color indexed="8"/>
      </right>
      <top style="medium">
        <color indexed="8"/>
      </top>
      <bottom/>
      <diagonal/>
    </border>
    <border>
      <left style="dotted">
        <color indexed="8"/>
      </left>
      <right style="dotted">
        <color indexed="8"/>
      </right>
      <top style="medium">
        <color indexed="8"/>
      </top>
      <bottom/>
      <diagonal/>
    </border>
    <border>
      <left style="dotted">
        <color indexed="8"/>
      </left>
      <right/>
      <top style="medium">
        <color indexed="8"/>
      </top>
      <bottom/>
      <diagonal/>
    </border>
    <border>
      <left/>
      <right/>
      <top style="medium">
        <color indexed="8"/>
      </top>
      <bottom style="dashed">
        <color indexed="8"/>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8"/>
      </top>
      <bottom style="dashed">
        <color indexed="8"/>
      </bottom>
      <diagonal/>
    </border>
    <border>
      <left style="thin">
        <color indexed="8"/>
      </left>
      <right/>
      <top style="medium">
        <color indexed="8"/>
      </top>
      <bottom/>
      <diagonal/>
    </border>
    <border>
      <left style="thin">
        <color indexed="8"/>
      </left>
      <right/>
      <top style="thin">
        <color indexed="8"/>
      </top>
      <bottom/>
      <diagonal/>
    </border>
    <border>
      <left style="thin">
        <color rgb="FF99CC00"/>
      </left>
      <right/>
      <top style="thin">
        <color rgb="FF99CC00"/>
      </top>
      <bottom style="thin">
        <color rgb="FF99CC00"/>
      </bottom>
      <diagonal/>
    </border>
    <border>
      <left/>
      <right style="thin">
        <color rgb="FF99CC00"/>
      </right>
      <top style="thin">
        <color rgb="FF99CC00"/>
      </top>
      <bottom style="thin">
        <color rgb="FF99CC00"/>
      </bottom>
      <diagonal/>
    </border>
  </borders>
  <cellStyleXfs count="21">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166" fontId="87" fillId="0" borderId="0" applyFill="0" applyBorder="0" applyAlignment="0" applyProtection="0"/>
    <xf numFmtId="0" fontId="87" fillId="0" borderId="0"/>
    <xf numFmtId="0" fontId="11" fillId="8" borderId="1" applyNumberFormat="0" applyAlignment="0" applyProtection="0"/>
    <xf numFmtId="164" fontId="87" fillId="0" borderId="0" applyFill="0" applyBorder="0" applyAlignment="0" applyProtection="0"/>
    <xf numFmtId="0" fontId="89" fillId="0" borderId="0"/>
    <xf numFmtId="0" fontId="87" fillId="0" borderId="0" applyNumberFormat="0" applyFill="0" applyBorder="0" applyAlignment="0" applyProtection="0"/>
    <xf numFmtId="0" fontId="87" fillId="0" borderId="0" applyNumberFormat="0" applyFill="0" applyBorder="0" applyAlignment="0" applyProtection="0"/>
    <xf numFmtId="0" fontId="4" fillId="0" borderId="0" applyNumberFormat="0" applyFill="0" applyBorder="0" applyAlignment="0" applyProtection="0"/>
  </cellStyleXfs>
  <cellXfs count="641">
    <xf numFmtId="0" fontId="0" fillId="0" borderId="0" xfId="0"/>
    <xf numFmtId="0" fontId="12" fillId="0" borderId="0" xfId="0" applyFont="1" applyAlignment="1" applyProtection="1">
      <alignment vertical="center"/>
    </xf>
    <xf numFmtId="0" fontId="12" fillId="9" borderId="0" xfId="0" applyFont="1" applyFill="1" applyAlignment="1" applyProtection="1">
      <alignment vertical="center"/>
    </xf>
    <xf numFmtId="0" fontId="14" fillId="9" borderId="0" xfId="0" applyFont="1" applyFill="1" applyAlignment="1" applyProtection="1">
      <alignment horizontal="left" vertical="center"/>
    </xf>
    <xf numFmtId="0" fontId="14" fillId="9" borderId="0" xfId="0" applyFont="1" applyFill="1" applyAlignment="1" applyProtection="1">
      <alignment vertical="center"/>
    </xf>
    <xf numFmtId="0" fontId="16" fillId="9" borderId="0" xfId="0" applyFont="1" applyFill="1" applyAlignment="1" applyProtection="1">
      <alignment vertical="top" wrapText="1"/>
    </xf>
    <xf numFmtId="0" fontId="16" fillId="9" borderId="0" xfId="0" applyFont="1" applyFill="1" applyAlignment="1" applyProtection="1">
      <alignment vertical="center" wrapText="1"/>
    </xf>
    <xf numFmtId="0" fontId="20" fillId="9" borderId="0" xfId="0" applyFont="1" applyFill="1" applyAlignment="1" applyProtection="1">
      <alignment horizontal="left" vertical="center" wrapText="1"/>
    </xf>
    <xf numFmtId="0" fontId="16" fillId="9" borderId="0" xfId="0" applyFont="1" applyFill="1" applyAlignment="1" applyProtection="1">
      <alignment horizontal="left" vertical="center" wrapText="1"/>
    </xf>
    <xf numFmtId="0" fontId="12" fillId="9" borderId="0" xfId="0" applyFont="1" applyFill="1" applyBorder="1" applyAlignment="1" applyProtection="1">
      <alignment vertical="center"/>
    </xf>
    <xf numFmtId="0" fontId="16" fillId="9" borderId="0" xfId="0" applyFont="1" applyFill="1" applyAlignment="1" applyProtection="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0" fontId="12" fillId="9" borderId="0" xfId="0" applyFont="1" applyFill="1" applyAlignment="1">
      <alignment horizontal="left" vertical="center"/>
    </xf>
    <xf numFmtId="0" fontId="14" fillId="9" borderId="0" xfId="0" applyFont="1" applyFill="1" applyBorder="1" applyAlignment="1">
      <alignment horizontal="left" vertical="center"/>
    </xf>
    <xf numFmtId="0" fontId="16" fillId="9" borderId="0" xfId="0" applyFont="1" applyFill="1" applyAlignment="1">
      <alignment horizontal="left" vertical="center"/>
    </xf>
    <xf numFmtId="0" fontId="23" fillId="9" borderId="0" xfId="0" applyFont="1" applyFill="1" applyAlignment="1">
      <alignment horizontal="left" vertical="center"/>
    </xf>
    <xf numFmtId="0" fontId="14" fillId="9" borderId="2" xfId="0" applyFont="1" applyFill="1" applyBorder="1" applyAlignment="1">
      <alignment horizontal="left" vertical="center" indent="1"/>
    </xf>
    <xf numFmtId="0" fontId="21" fillId="9" borderId="3" xfId="0" applyFont="1" applyFill="1" applyBorder="1" applyAlignment="1" applyProtection="1">
      <alignment horizontal="left" vertical="center" indent="1"/>
      <protection locked="0"/>
    </xf>
    <xf numFmtId="0" fontId="16" fillId="9" borderId="2" xfId="0" applyFont="1" applyFill="1" applyBorder="1" applyAlignment="1">
      <alignment horizontal="left" vertical="center" indent="1"/>
    </xf>
    <xf numFmtId="0" fontId="12" fillId="9" borderId="0" xfId="0" applyFont="1" applyFill="1" applyAlignment="1">
      <alignment horizontal="left" vertical="center" indent="1"/>
    </xf>
    <xf numFmtId="0" fontId="24" fillId="9" borderId="0" xfId="0" applyFont="1" applyFill="1" applyAlignment="1">
      <alignment horizontal="left" vertical="center" indent="1"/>
    </xf>
    <xf numFmtId="0" fontId="25" fillId="9" borderId="0" xfId="0" applyFont="1" applyFill="1" applyAlignment="1">
      <alignment horizontal="left" vertical="center" indent="1"/>
    </xf>
    <xf numFmtId="0" fontId="21" fillId="9" borderId="0" xfId="0" applyFont="1" applyFill="1" applyAlignment="1">
      <alignment horizontal="left" vertical="center" indent="1"/>
    </xf>
    <xf numFmtId="0" fontId="21" fillId="9" borderId="0" xfId="0" applyFont="1" applyFill="1" applyBorder="1" applyAlignment="1">
      <alignment horizontal="left" vertical="center" indent="1"/>
    </xf>
    <xf numFmtId="0" fontId="14" fillId="9" borderId="2" xfId="0" applyFont="1" applyFill="1" applyBorder="1" applyAlignment="1">
      <alignment horizontal="left" vertical="center" wrapText="1" indent="1"/>
    </xf>
    <xf numFmtId="0" fontId="25" fillId="9" borderId="0" xfId="0" applyFont="1" applyFill="1" applyAlignment="1">
      <alignment vertical="center"/>
    </xf>
    <xf numFmtId="0" fontId="21" fillId="9" borderId="0" xfId="0" applyFont="1" applyFill="1" applyAlignment="1">
      <alignment horizontal="left" vertical="center"/>
    </xf>
    <xf numFmtId="0" fontId="16" fillId="9" borderId="2" xfId="0" applyFont="1" applyFill="1" applyBorder="1" applyAlignment="1">
      <alignment horizontal="left" vertical="center" wrapText="1" indent="1"/>
    </xf>
    <xf numFmtId="0" fontId="12" fillId="0" borderId="0" xfId="0" applyFont="1" applyAlignment="1" applyProtection="1">
      <alignment horizontal="left" vertical="center"/>
    </xf>
    <xf numFmtId="0" fontId="12" fillId="9" borderId="0" xfId="0" applyFont="1" applyFill="1" applyAlignment="1" applyProtection="1">
      <alignment horizontal="center" vertical="center"/>
    </xf>
    <xf numFmtId="0" fontId="12" fillId="9" borderId="0" xfId="0" applyFont="1" applyFill="1" applyAlignment="1" applyProtection="1">
      <alignment horizontal="left" vertical="center"/>
    </xf>
    <xf numFmtId="0" fontId="14" fillId="9" borderId="2" xfId="0" applyFont="1" applyFill="1" applyBorder="1" applyAlignment="1" applyProtection="1">
      <alignment horizontal="left" vertical="center" indent="1"/>
    </xf>
    <xf numFmtId="0" fontId="21" fillId="9" borderId="3" xfId="0" applyFont="1" applyFill="1" applyBorder="1" applyAlignment="1" applyProtection="1">
      <alignment horizontal="left" vertical="center" indent="1"/>
    </xf>
    <xf numFmtId="0" fontId="16" fillId="9" borderId="2" xfId="0" applyFont="1" applyFill="1" applyBorder="1" applyAlignment="1" applyProtection="1">
      <alignment horizontal="left" vertical="center" indent="1"/>
    </xf>
    <xf numFmtId="3" fontId="21" fillId="9" borderId="3" xfId="0" applyNumberFormat="1" applyFont="1" applyFill="1" applyBorder="1" applyAlignment="1" applyProtection="1">
      <alignment horizontal="left" vertical="center" indent="1"/>
      <protection locked="0"/>
    </xf>
    <xf numFmtId="0" fontId="26" fillId="0" borderId="0" xfId="0" applyFont="1" applyAlignment="1" applyProtection="1">
      <alignment vertical="center"/>
    </xf>
    <xf numFmtId="3" fontId="21" fillId="9" borderId="3" xfId="0" applyNumberFormat="1" applyFont="1" applyFill="1" applyBorder="1" applyAlignment="1" applyProtection="1">
      <alignment horizontal="left" vertical="center" indent="1"/>
    </xf>
    <xf numFmtId="3" fontId="12" fillId="9" borderId="3" xfId="0" applyNumberFormat="1" applyFont="1" applyFill="1" applyBorder="1" applyAlignment="1" applyProtection="1">
      <alignment horizontal="left" vertical="center" indent="1"/>
      <protection locked="0"/>
    </xf>
    <xf numFmtId="3" fontId="16" fillId="9" borderId="2" xfId="0" applyNumberFormat="1" applyFont="1" applyFill="1" applyBorder="1" applyAlignment="1" applyProtection="1">
      <alignment horizontal="left" vertical="center" indent="1"/>
    </xf>
    <xf numFmtId="0" fontId="25" fillId="9" borderId="0" xfId="0" applyFont="1" applyFill="1" applyAlignment="1" applyProtection="1">
      <alignment horizontal="left" vertical="center" indent="1"/>
    </xf>
    <xf numFmtId="0" fontId="21" fillId="9" borderId="0" xfId="0" applyFont="1" applyFill="1" applyAlignment="1" applyProtection="1">
      <alignment horizontal="left" vertical="center" indent="1"/>
    </xf>
    <xf numFmtId="0" fontId="21" fillId="9" borderId="0" xfId="0" applyFont="1" applyFill="1" applyBorder="1" applyAlignment="1" applyProtection="1">
      <alignment horizontal="left" vertical="center" indent="1"/>
    </xf>
    <xf numFmtId="164" fontId="21" fillId="9" borderId="3" xfId="0" applyNumberFormat="1" applyFont="1" applyFill="1" applyBorder="1" applyAlignment="1" applyProtection="1">
      <alignment horizontal="left" vertical="center" indent="1"/>
      <protection locked="0"/>
    </xf>
    <xf numFmtId="0" fontId="24" fillId="0" borderId="0" xfId="0" applyFont="1" applyAlignment="1" applyProtection="1">
      <alignment vertical="center"/>
    </xf>
    <xf numFmtId="3" fontId="21" fillId="9" borderId="0" xfId="0" applyNumberFormat="1" applyFont="1" applyFill="1" applyBorder="1" applyAlignment="1" applyProtection="1">
      <alignment horizontal="left" vertical="center" indent="1"/>
    </xf>
    <xf numFmtId="0" fontId="16" fillId="9" borderId="0" xfId="0" applyFont="1" applyFill="1" applyBorder="1" applyAlignment="1" applyProtection="1">
      <alignment horizontal="left" vertical="center" indent="1"/>
    </xf>
    <xf numFmtId="164" fontId="21" fillId="9" borderId="0" xfId="0" applyNumberFormat="1" applyFont="1" applyFill="1" applyBorder="1" applyAlignment="1" applyProtection="1">
      <alignment horizontal="left" vertical="center" indent="1"/>
      <protection locked="0"/>
    </xf>
    <xf numFmtId="164" fontId="26" fillId="9" borderId="0" xfId="0" applyNumberFormat="1" applyFont="1" applyFill="1" applyBorder="1" applyAlignment="1" applyProtection="1">
      <alignment horizontal="left" vertical="center" indent="1"/>
    </xf>
    <xf numFmtId="0" fontId="12" fillId="0" borderId="0" xfId="0" applyFont="1" applyAlignment="1">
      <alignment horizontal="center" vertical="center"/>
    </xf>
    <xf numFmtId="0" fontId="12" fillId="0" borderId="0" xfId="0" applyFont="1" applyAlignment="1">
      <alignment horizontal="left" vertical="center" indent="1"/>
    </xf>
    <xf numFmtId="164" fontId="12" fillId="0" borderId="0" xfId="0" applyNumberFormat="1" applyFont="1" applyAlignment="1">
      <alignment horizontal="center" vertical="center"/>
    </xf>
    <xf numFmtId="1" fontId="12" fillId="0" borderId="0" xfId="0" applyNumberFormat="1" applyFont="1" applyAlignment="1">
      <alignment horizontal="center" vertical="center"/>
    </xf>
    <xf numFmtId="1" fontId="20" fillId="0" borderId="0" xfId="0" applyNumberFormat="1" applyFont="1" applyAlignment="1">
      <alignment horizontal="center" vertical="center"/>
    </xf>
    <xf numFmtId="164" fontId="12" fillId="9" borderId="0" xfId="0" applyNumberFormat="1" applyFont="1" applyFill="1" applyAlignment="1">
      <alignment horizontal="center" vertical="center"/>
    </xf>
    <xf numFmtId="1" fontId="12" fillId="9" borderId="0" xfId="0" applyNumberFormat="1" applyFont="1" applyFill="1" applyAlignment="1">
      <alignment horizontal="center" vertical="center"/>
    </xf>
    <xf numFmtId="1" fontId="20" fillId="9" borderId="0" xfId="0" applyNumberFormat="1" applyFont="1" applyFill="1" applyAlignment="1">
      <alignment horizontal="center" vertical="center"/>
    </xf>
    <xf numFmtId="3" fontId="12" fillId="9" borderId="0" xfId="0" applyNumberFormat="1" applyFont="1" applyFill="1" applyAlignment="1">
      <alignment horizontal="center" vertical="center"/>
    </xf>
    <xf numFmtId="0" fontId="13" fillId="9" borderId="0" xfId="0" applyFont="1" applyFill="1" applyBorder="1" applyAlignment="1">
      <alignment horizontal="left" vertical="top"/>
    </xf>
    <xf numFmtId="0" fontId="13" fillId="9" borderId="0" xfId="0" applyFont="1" applyFill="1" applyBorder="1" applyAlignment="1">
      <alignment vertical="top"/>
    </xf>
    <xf numFmtId="0" fontId="12" fillId="0" borderId="4" xfId="0" applyFont="1" applyBorder="1" applyAlignment="1">
      <alignment horizontal="center" vertical="center"/>
    </xf>
    <xf numFmtId="0" fontId="12" fillId="10" borderId="0" xfId="0" applyFont="1" applyFill="1" applyAlignment="1">
      <alignment vertical="center"/>
    </xf>
    <xf numFmtId="0" fontId="12" fillId="0" borderId="0" xfId="0" applyFont="1" applyFill="1" applyAlignment="1">
      <alignment vertical="center"/>
    </xf>
    <xf numFmtId="0" fontId="16" fillId="9" borderId="0" xfId="0" applyFont="1" applyFill="1" applyBorder="1" applyAlignment="1">
      <alignment horizontal="left" vertical="center"/>
    </xf>
    <xf numFmtId="0" fontId="12" fillId="0" borderId="5" xfId="0" applyFont="1" applyBorder="1" applyAlignment="1">
      <alignment horizontal="center" vertical="center"/>
    </xf>
    <xf numFmtId="0" fontId="22" fillId="11" borderId="6" xfId="0" applyFont="1" applyFill="1" applyBorder="1" applyAlignment="1">
      <alignment horizontal="left" vertical="center" indent="1"/>
    </xf>
    <xf numFmtId="0" fontId="22" fillId="11" borderId="6" xfId="0" applyFont="1" applyFill="1" applyBorder="1" applyAlignment="1">
      <alignment horizontal="center" vertical="center"/>
    </xf>
    <xf numFmtId="164" fontId="22" fillId="11" borderId="6" xfId="0" applyNumberFormat="1" applyFont="1" applyFill="1" applyBorder="1" applyAlignment="1">
      <alignment horizontal="center" vertical="center"/>
    </xf>
    <xf numFmtId="1" fontId="22" fillId="11" borderId="6" xfId="0" applyNumberFormat="1" applyFont="1" applyFill="1" applyBorder="1" applyAlignment="1">
      <alignment horizontal="center" vertical="center"/>
    </xf>
    <xf numFmtId="0" fontId="28" fillId="0" borderId="0" xfId="0" applyFont="1" applyAlignment="1">
      <alignment vertical="center" wrapText="1"/>
    </xf>
    <xf numFmtId="0" fontId="29" fillId="0" borderId="0" xfId="0" applyFont="1" applyAlignment="1">
      <alignment vertical="center" wrapText="1"/>
    </xf>
    <xf numFmtId="0" fontId="22" fillId="12" borderId="3" xfId="0" applyFont="1" applyFill="1" applyBorder="1" applyAlignment="1">
      <alignment horizontal="left" vertical="center" indent="1"/>
    </xf>
    <xf numFmtId="164" fontId="22" fillId="12" borderId="3" xfId="0" applyNumberFormat="1" applyFont="1" applyFill="1" applyBorder="1" applyAlignment="1">
      <alignment horizontal="center" vertical="center"/>
    </xf>
    <xf numFmtId="1" fontId="22" fillId="12" borderId="3" xfId="0" applyNumberFormat="1" applyFont="1" applyFill="1" applyBorder="1" applyAlignment="1">
      <alignment horizontal="center" vertical="center"/>
    </xf>
    <xf numFmtId="164" fontId="30" fillId="0" borderId="0" xfId="16" applyFont="1" applyFill="1" applyBorder="1" applyAlignment="1" applyProtection="1">
      <alignment vertical="center"/>
    </xf>
    <xf numFmtId="0" fontId="14" fillId="12" borderId="3" xfId="0" applyFont="1" applyFill="1" applyBorder="1" applyAlignment="1">
      <alignment horizontal="left" vertical="center" indent="1"/>
    </xf>
    <xf numFmtId="0" fontId="14" fillId="12" borderId="3" xfId="0" applyFont="1" applyFill="1" applyBorder="1" applyAlignment="1">
      <alignment horizontal="left" vertical="center"/>
    </xf>
    <xf numFmtId="165" fontId="14" fillId="12" borderId="7" xfId="0" applyNumberFormat="1" applyFont="1" applyFill="1" applyBorder="1" applyAlignment="1" applyProtection="1">
      <alignment horizontal="center" vertical="center"/>
      <protection locked="0"/>
    </xf>
    <xf numFmtId="164" fontId="31" fillId="12" borderId="7" xfId="0" applyNumberFormat="1" applyFont="1" applyFill="1" applyBorder="1" applyAlignment="1" applyProtection="1">
      <alignment horizontal="center" vertical="center"/>
      <protection locked="0"/>
    </xf>
    <xf numFmtId="0" fontId="15" fillId="12" borderId="3" xfId="0" applyFont="1" applyFill="1" applyBorder="1" applyAlignment="1">
      <alignment horizontal="left" vertical="center"/>
    </xf>
    <xf numFmtId="164" fontId="14" fillId="12" borderId="3" xfId="0" applyNumberFormat="1" applyFont="1" applyFill="1" applyBorder="1" applyAlignment="1">
      <alignment horizontal="center" vertical="center"/>
    </xf>
    <xf numFmtId="1" fontId="14" fillId="12" borderId="3" xfId="0" applyNumberFormat="1" applyFont="1" applyFill="1" applyBorder="1" applyAlignment="1">
      <alignment horizontal="center" vertical="center"/>
    </xf>
    <xf numFmtId="0" fontId="32" fillId="0" borderId="0" xfId="0" applyNumberFormat="1" applyFont="1" applyAlignment="1" applyProtection="1">
      <alignment vertical="center"/>
    </xf>
    <xf numFmtId="0" fontId="16" fillId="9" borderId="8" xfId="0" applyFont="1" applyFill="1" applyBorder="1" applyAlignment="1">
      <alignment horizontal="left" vertical="center" wrapText="1" indent="1"/>
    </xf>
    <xf numFmtId="0" fontId="34" fillId="9" borderId="7" xfId="0" applyFont="1" applyFill="1" applyBorder="1" applyAlignment="1" applyProtection="1">
      <alignment horizontal="left" vertical="center" wrapText="1"/>
      <protection locked="0"/>
    </xf>
    <xf numFmtId="0" fontId="33" fillId="9" borderId="7" xfId="0" applyFont="1" applyFill="1" applyBorder="1" applyAlignment="1" applyProtection="1">
      <alignment horizontal="center" vertical="center" wrapText="1"/>
      <protection locked="0"/>
    </xf>
    <xf numFmtId="1" fontId="21" fillId="9" borderId="3" xfId="0" applyNumberFormat="1" applyFont="1" applyFill="1" applyBorder="1" applyAlignment="1" applyProtection="1">
      <alignment horizontal="center" vertical="center"/>
      <protection locked="0"/>
    </xf>
    <xf numFmtId="1" fontId="35" fillId="9" borderId="8" xfId="0" applyNumberFormat="1" applyFont="1" applyFill="1" applyBorder="1" applyAlignment="1">
      <alignment horizontal="center" vertical="center"/>
    </xf>
    <xf numFmtId="0" fontId="36" fillId="12" borderId="3" xfId="0" applyFont="1" applyFill="1" applyBorder="1" applyAlignment="1">
      <alignment horizontal="left" vertical="center"/>
    </xf>
    <xf numFmtId="0" fontId="31" fillId="12" borderId="3" xfId="0" applyFont="1" applyFill="1" applyBorder="1" applyAlignment="1">
      <alignment horizontal="left" vertical="center"/>
    </xf>
    <xf numFmtId="165" fontId="22" fillId="12" borderId="3" xfId="0" applyNumberFormat="1" applyFont="1" applyFill="1" applyBorder="1" applyAlignment="1" applyProtection="1">
      <alignment horizontal="left" vertical="center" indent="1"/>
      <protection locked="0"/>
    </xf>
    <xf numFmtId="0" fontId="37" fillId="12" borderId="3" xfId="0" applyFont="1" applyFill="1" applyBorder="1" applyAlignment="1">
      <alignment horizontal="left" vertical="center" indent="1"/>
    </xf>
    <xf numFmtId="164" fontId="31" fillId="12" borderId="7" xfId="0" applyNumberFormat="1" applyFont="1" applyFill="1" applyBorder="1" applyAlignment="1" applyProtection="1">
      <alignment horizontal="center" vertical="center"/>
    </xf>
    <xf numFmtId="0" fontId="12" fillId="0" borderId="0" xfId="0" applyNumberFormat="1" applyFont="1" applyAlignment="1">
      <alignment vertical="center"/>
    </xf>
    <xf numFmtId="0" fontId="16" fillId="9" borderId="8" xfId="0" applyFont="1" applyFill="1" applyBorder="1" applyAlignment="1">
      <alignment horizontal="left" vertical="center" indent="1"/>
    </xf>
    <xf numFmtId="164" fontId="33" fillId="9" borderId="7" xfId="0" applyNumberFormat="1" applyFont="1" applyFill="1" applyBorder="1" applyAlignment="1" applyProtection="1">
      <alignment horizontal="center" vertical="center"/>
    </xf>
    <xf numFmtId="0" fontId="37" fillId="12" borderId="3" xfId="0" applyFont="1" applyFill="1" applyBorder="1" applyAlignment="1" applyProtection="1">
      <alignment horizontal="left" vertical="center" indent="1"/>
    </xf>
    <xf numFmtId="0" fontId="16" fillId="9" borderId="6" xfId="0" applyFont="1" applyFill="1" applyBorder="1" applyAlignment="1">
      <alignment horizontal="left" vertical="center" wrapText="1" indent="1"/>
    </xf>
    <xf numFmtId="0" fontId="16" fillId="9" borderId="6" xfId="0" applyFont="1" applyFill="1" applyBorder="1" applyAlignment="1">
      <alignment horizontal="left" vertical="center" indent="1"/>
    </xf>
    <xf numFmtId="0" fontId="16" fillId="9" borderId="0" xfId="0" applyFont="1" applyFill="1" applyBorder="1" applyAlignment="1">
      <alignment horizontal="left" vertical="center" wrapText="1" indent="1"/>
    </xf>
    <xf numFmtId="0" fontId="33" fillId="9" borderId="9" xfId="0" applyFont="1" applyFill="1" applyBorder="1" applyAlignment="1" applyProtection="1">
      <alignment horizontal="center" vertical="center" wrapText="1"/>
      <protection locked="0"/>
    </xf>
    <xf numFmtId="0" fontId="14" fillId="12" borderId="3" xfId="0" applyFont="1" applyFill="1" applyBorder="1" applyAlignment="1">
      <alignment horizontal="left" vertical="center" wrapText="1"/>
    </xf>
    <xf numFmtId="0" fontId="31" fillId="12" borderId="3" xfId="0" applyFont="1" applyFill="1" applyBorder="1" applyAlignment="1">
      <alignment horizontal="center" vertical="center"/>
    </xf>
    <xf numFmtId="0" fontId="36" fillId="12" borderId="3" xfId="0" applyFont="1" applyFill="1" applyBorder="1" applyAlignment="1">
      <alignment horizontal="left" vertical="center" wrapText="1"/>
    </xf>
    <xf numFmtId="0" fontId="31" fillId="12" borderId="3" xfId="0" applyFont="1" applyFill="1" applyBorder="1" applyAlignment="1">
      <alignment horizontal="left" vertical="center" wrapText="1"/>
    </xf>
    <xf numFmtId="165" fontId="12" fillId="0" borderId="0" xfId="0" applyNumberFormat="1" applyFont="1" applyAlignment="1">
      <alignment horizontal="center" vertical="center"/>
    </xf>
    <xf numFmtId="0" fontId="39" fillId="0" borderId="0" xfId="0" applyFont="1" applyAlignment="1">
      <alignment wrapText="1"/>
    </xf>
    <xf numFmtId="0" fontId="39" fillId="0" borderId="0" xfId="0" applyFont="1" applyAlignment="1">
      <alignment horizontal="center" wrapText="1"/>
    </xf>
    <xf numFmtId="0" fontId="39" fillId="9" borderId="0" xfId="0" applyFont="1" applyFill="1" applyAlignment="1">
      <alignment wrapText="1"/>
    </xf>
    <xf numFmtId="0" fontId="39" fillId="9" borderId="0" xfId="0" applyFont="1" applyFill="1" applyAlignment="1">
      <alignment horizontal="center" wrapText="1"/>
    </xf>
    <xf numFmtId="0" fontId="39" fillId="9" borderId="0" xfId="0" applyFont="1" applyFill="1" applyBorder="1" applyAlignment="1">
      <alignment wrapText="1"/>
    </xf>
    <xf numFmtId="0" fontId="40" fillId="9" borderId="0" xfId="0" applyFont="1" applyFill="1" applyBorder="1" applyAlignment="1">
      <alignment vertical="center" wrapText="1"/>
    </xf>
    <xf numFmtId="0" fontId="40" fillId="9" borderId="10" xfId="0" applyFont="1" applyFill="1" applyBorder="1" applyAlignment="1">
      <alignment vertical="center" wrapText="1"/>
    </xf>
    <xf numFmtId="0" fontId="40" fillId="9" borderId="11" xfId="0" applyFont="1" applyFill="1" applyBorder="1" applyAlignment="1">
      <alignment vertical="center" wrapText="1"/>
    </xf>
    <xf numFmtId="0" fontId="40" fillId="9" borderId="11" xfId="0" applyFont="1" applyFill="1" applyBorder="1" applyAlignment="1">
      <alignment horizontal="center" vertical="center" wrapText="1"/>
    </xf>
    <xf numFmtId="0" fontId="40" fillId="9" borderId="12" xfId="0" applyFont="1" applyFill="1" applyBorder="1" applyAlignment="1">
      <alignment vertical="center" wrapText="1"/>
    </xf>
    <xf numFmtId="0" fontId="41" fillId="9" borderId="0" xfId="0" applyFont="1" applyFill="1" applyBorder="1" applyAlignment="1" applyProtection="1">
      <alignment vertical="center" wrapText="1"/>
    </xf>
    <xf numFmtId="0" fontId="42" fillId="9" borderId="13" xfId="0" applyFont="1" applyFill="1" applyBorder="1" applyAlignment="1">
      <alignment horizontal="right" wrapText="1" indent="1"/>
    </xf>
    <xf numFmtId="0" fontId="42" fillId="9" borderId="0" xfId="0" applyFont="1" applyFill="1" applyBorder="1" applyAlignment="1">
      <alignment horizontal="right" wrapText="1" indent="1"/>
    </xf>
    <xf numFmtId="0" fontId="39" fillId="9" borderId="14" xfId="0" applyFont="1" applyFill="1" applyBorder="1" applyAlignment="1">
      <alignment wrapText="1"/>
    </xf>
    <xf numFmtId="0" fontId="41" fillId="9" borderId="0" xfId="0" applyFont="1" applyFill="1" applyBorder="1" applyAlignment="1" applyProtection="1">
      <alignment horizontal="left" vertical="center" wrapText="1"/>
    </xf>
    <xf numFmtId="0" fontId="41" fillId="9" borderId="13" xfId="0" applyFont="1" applyFill="1" applyBorder="1" applyAlignment="1" applyProtection="1">
      <alignment horizontal="left" vertical="center" wrapText="1"/>
    </xf>
    <xf numFmtId="3" fontId="46" fillId="13" borderId="0" xfId="0" applyNumberFormat="1" applyFont="1" applyFill="1" applyBorder="1" applyAlignment="1" applyProtection="1">
      <alignment horizontal="center" vertical="center" wrapText="1"/>
    </xf>
    <xf numFmtId="3" fontId="49" fillId="14" borderId="15" xfId="0" applyNumberFormat="1" applyFont="1" applyFill="1" applyBorder="1" applyAlignment="1" applyProtection="1">
      <alignment horizontal="center" vertical="center" wrapText="1"/>
    </xf>
    <xf numFmtId="0" fontId="42" fillId="9" borderId="0" xfId="0" applyFont="1" applyFill="1" applyBorder="1" applyAlignment="1">
      <alignment horizontal="left" vertical="top" wrapText="1"/>
    </xf>
    <xf numFmtId="0" fontId="42" fillId="9" borderId="13" xfId="0" applyFont="1" applyFill="1" applyBorder="1" applyAlignment="1">
      <alignment horizontal="left" vertical="top" wrapText="1"/>
    </xf>
    <xf numFmtId="3" fontId="50" fillId="13" borderId="0" xfId="0" applyNumberFormat="1" applyFont="1" applyFill="1" applyBorder="1" applyAlignment="1" applyProtection="1">
      <alignment horizontal="center" vertical="center" wrapText="1"/>
    </xf>
    <xf numFmtId="3" fontId="51" fillId="13" borderId="0" xfId="0" applyNumberFormat="1" applyFont="1" applyFill="1" applyBorder="1" applyAlignment="1" applyProtection="1">
      <alignment vertical="center" wrapText="1"/>
    </xf>
    <xf numFmtId="1" fontId="47" fillId="13" borderId="0" xfId="0" applyNumberFormat="1" applyFont="1" applyFill="1" applyBorder="1" applyAlignment="1" applyProtection="1">
      <alignment horizontal="center" vertical="center" wrapText="1"/>
    </xf>
    <xf numFmtId="0" fontId="42" fillId="9" borderId="10" xfId="0" applyFont="1" applyFill="1" applyBorder="1" applyAlignment="1">
      <alignment horizontal="left" vertical="top" wrapText="1"/>
    </xf>
    <xf numFmtId="0" fontId="42" fillId="9" borderId="11" xfId="0" applyFont="1" applyFill="1" applyBorder="1" applyAlignment="1">
      <alignment horizontal="left" vertical="top" wrapText="1"/>
    </xf>
    <xf numFmtId="0" fontId="49" fillId="12" borderId="11" xfId="0" applyFont="1" applyFill="1" applyBorder="1" applyAlignment="1" applyProtection="1">
      <alignment vertical="center" wrapText="1"/>
    </xf>
    <xf numFmtId="3" fontId="47" fillId="9" borderId="16" xfId="0" applyNumberFormat="1" applyFont="1" applyFill="1" applyBorder="1" applyAlignment="1" applyProtection="1">
      <alignment horizontal="right" vertical="center" wrapText="1"/>
    </xf>
    <xf numFmtId="0" fontId="39" fillId="9" borderId="12" xfId="0" applyFont="1" applyFill="1" applyBorder="1" applyAlignment="1">
      <alignment wrapText="1"/>
    </xf>
    <xf numFmtId="0" fontId="39" fillId="0" borderId="13" xfId="0" applyFont="1" applyBorder="1" applyAlignment="1">
      <alignment wrapText="1"/>
    </xf>
    <xf numFmtId="0" fontId="39" fillId="0" borderId="0" xfId="0" applyFont="1" applyBorder="1" applyAlignment="1">
      <alignment wrapText="1"/>
    </xf>
    <xf numFmtId="0" fontId="49" fillId="12" borderId="0" xfId="0" applyFont="1" applyFill="1" applyBorder="1" applyAlignment="1" applyProtection="1">
      <alignment vertical="center" wrapText="1"/>
    </xf>
    <xf numFmtId="0" fontId="49" fillId="14" borderId="0" xfId="0" applyFont="1" applyFill="1" applyBorder="1" applyAlignment="1" applyProtection="1">
      <alignment vertical="center" wrapText="1"/>
    </xf>
    <xf numFmtId="0" fontId="49" fillId="14" borderId="18" xfId="0" applyFont="1" applyFill="1" applyBorder="1" applyAlignment="1" applyProtection="1">
      <alignment vertical="center" wrapText="1"/>
    </xf>
    <xf numFmtId="0" fontId="41" fillId="12" borderId="19" xfId="0" applyFont="1" applyFill="1" applyBorder="1" applyAlignment="1" applyProtection="1">
      <alignment horizontal="center" vertical="center" wrapText="1"/>
    </xf>
    <xf numFmtId="0" fontId="41" fillId="12" borderId="20" xfId="0" applyFont="1" applyFill="1" applyBorder="1" applyAlignment="1" applyProtection="1">
      <alignment horizontal="center" vertical="center" wrapText="1"/>
    </xf>
    <xf numFmtId="0" fontId="41" fillId="12" borderId="21" xfId="0" applyFont="1" applyFill="1" applyBorder="1" applyAlignment="1" applyProtection="1">
      <alignment horizontal="center" vertical="center" wrapText="1"/>
    </xf>
    <xf numFmtId="3" fontId="47" fillId="9" borderId="22" xfId="0" applyNumberFormat="1" applyFont="1" applyFill="1" applyBorder="1" applyAlignment="1" applyProtection="1">
      <alignment horizontal="left" vertical="center" wrapText="1"/>
    </xf>
    <xf numFmtId="3" fontId="47" fillId="9" borderId="23" xfId="0" applyNumberFormat="1" applyFont="1" applyFill="1" applyBorder="1" applyAlignment="1" applyProtection="1">
      <alignment horizontal="left" vertical="center" wrapText="1"/>
    </xf>
    <xf numFmtId="167" fontId="47" fillId="9" borderId="24" xfId="13" applyNumberFormat="1" applyFont="1" applyFill="1" applyBorder="1" applyAlignment="1" applyProtection="1">
      <alignment horizontal="left" vertical="center" wrapText="1"/>
    </xf>
    <xf numFmtId="0" fontId="49" fillId="12" borderId="19" xfId="0" applyFont="1" applyFill="1" applyBorder="1" applyAlignment="1" applyProtection="1">
      <alignment horizontal="center" vertical="center" wrapText="1"/>
    </xf>
    <xf numFmtId="0" fontId="49" fillId="12" borderId="20" xfId="0" applyFont="1" applyFill="1" applyBorder="1" applyAlignment="1" applyProtection="1">
      <alignment horizontal="center" vertical="center" wrapText="1"/>
    </xf>
    <xf numFmtId="0" fontId="49" fillId="12" borderId="21" xfId="0" applyFont="1" applyFill="1" applyBorder="1" applyAlignment="1" applyProtection="1">
      <alignment horizontal="center" vertical="center" wrapText="1"/>
    </xf>
    <xf numFmtId="0" fontId="49" fillId="9" borderId="13" xfId="0" applyFont="1" applyFill="1" applyBorder="1" applyAlignment="1" applyProtection="1">
      <alignment horizontal="left" vertical="center" wrapText="1"/>
    </xf>
    <xf numFmtId="0" fontId="49" fillId="9" borderId="0" xfId="0" applyFont="1" applyFill="1" applyBorder="1" applyAlignment="1" applyProtection="1">
      <alignment horizontal="left" vertical="center" wrapText="1"/>
    </xf>
    <xf numFmtId="3" fontId="47" fillId="9" borderId="25" xfId="0" applyNumberFormat="1" applyFont="1" applyFill="1" applyBorder="1" applyAlignment="1" applyProtection="1">
      <alignment horizontal="left" vertical="center" wrapText="1"/>
    </xf>
    <xf numFmtId="0" fontId="47" fillId="9" borderId="18" xfId="0" applyFont="1" applyFill="1" applyBorder="1" applyAlignment="1" applyProtection="1">
      <alignment horizontal="left" vertical="center" wrapText="1"/>
    </xf>
    <xf numFmtId="167" fontId="47" fillId="9" borderId="26" xfId="13" applyNumberFormat="1" applyFont="1" applyFill="1" applyBorder="1" applyAlignment="1" applyProtection="1">
      <alignment horizontal="left" vertical="center" wrapText="1"/>
    </xf>
    <xf numFmtId="165" fontId="38" fillId="13" borderId="19" xfId="13" applyNumberFormat="1" applyFont="1" applyFill="1" applyBorder="1" applyAlignment="1" applyProtection="1">
      <alignment horizontal="center" vertical="center" wrapText="1"/>
    </xf>
    <xf numFmtId="165" fontId="38" fillId="13" borderId="20" xfId="13" applyNumberFormat="1" applyFont="1" applyFill="1" applyBorder="1" applyAlignment="1" applyProtection="1">
      <alignment horizontal="center" vertical="center" wrapText="1"/>
    </xf>
    <xf numFmtId="165" fontId="39" fillId="13" borderId="20" xfId="0" applyNumberFormat="1" applyFont="1" applyFill="1" applyBorder="1" applyAlignment="1">
      <alignment horizontal="center" vertical="center" wrapText="1"/>
    </xf>
    <xf numFmtId="165" fontId="39" fillId="13" borderId="21" xfId="0" applyNumberFormat="1" applyFont="1" applyFill="1" applyBorder="1" applyAlignment="1">
      <alignment horizontal="center" vertical="center" wrapText="1"/>
    </xf>
    <xf numFmtId="1" fontId="54" fillId="9" borderId="14" xfId="0" applyNumberFormat="1" applyFont="1" applyFill="1" applyBorder="1" applyAlignment="1">
      <alignment wrapText="1"/>
    </xf>
    <xf numFmtId="0" fontId="47" fillId="9" borderId="25" xfId="0" applyFont="1" applyFill="1" applyBorder="1" applyAlignment="1" applyProtection="1">
      <alignment horizontal="left" vertical="center" wrapText="1"/>
    </xf>
    <xf numFmtId="1" fontId="39" fillId="13" borderId="19" xfId="0" applyNumberFormat="1" applyFont="1" applyFill="1" applyBorder="1" applyAlignment="1">
      <alignment horizontal="center" vertical="center" wrapText="1"/>
    </xf>
    <xf numFmtId="1" fontId="39" fillId="13" borderId="20" xfId="0" applyNumberFormat="1" applyFont="1" applyFill="1" applyBorder="1" applyAlignment="1">
      <alignment horizontal="center" vertical="center" wrapText="1"/>
    </xf>
    <xf numFmtId="1" fontId="39" fillId="13" borderId="21" xfId="0" applyNumberFormat="1" applyFont="1" applyFill="1" applyBorder="1" applyAlignment="1">
      <alignment horizontal="center" vertical="center" wrapText="1"/>
    </xf>
    <xf numFmtId="0" fontId="55" fillId="12" borderId="19" xfId="0" applyFont="1" applyFill="1" applyBorder="1" applyAlignment="1" applyProtection="1">
      <alignment horizontal="center" vertical="center" wrapText="1"/>
    </xf>
    <xf numFmtId="0" fontId="55" fillId="12" borderId="20" xfId="0" applyFont="1" applyFill="1" applyBorder="1" applyAlignment="1" applyProtection="1">
      <alignment horizontal="center" vertical="center" wrapText="1"/>
    </xf>
    <xf numFmtId="0" fontId="55" fillId="12" borderId="21" xfId="0" applyFont="1" applyFill="1" applyBorder="1" applyAlignment="1" applyProtection="1">
      <alignment horizontal="center" vertical="center" wrapText="1"/>
    </xf>
    <xf numFmtId="0" fontId="47" fillId="9" borderId="27" xfId="0" applyFont="1" applyFill="1" applyBorder="1" applyAlignment="1" applyProtection="1">
      <alignment horizontal="left" vertical="center" wrapText="1"/>
    </xf>
    <xf numFmtId="0" fontId="47" fillId="9" borderId="28" xfId="0" applyFont="1" applyFill="1" applyBorder="1" applyAlignment="1" applyProtection="1">
      <alignment horizontal="left" vertical="center" wrapText="1"/>
    </xf>
    <xf numFmtId="167" fontId="47" fillId="9" borderId="29" xfId="13" applyNumberFormat="1" applyFont="1" applyFill="1" applyBorder="1" applyAlignment="1" applyProtection="1">
      <alignment horizontal="left" vertical="center" wrapText="1"/>
    </xf>
    <xf numFmtId="3" fontId="46" fillId="9" borderId="0" xfId="0" applyNumberFormat="1" applyFont="1" applyFill="1" applyBorder="1" applyAlignment="1" applyProtection="1">
      <alignment horizontal="center" vertical="center" wrapText="1"/>
    </xf>
    <xf numFmtId="167" fontId="46" fillId="9" borderId="30" xfId="13" applyNumberFormat="1" applyFont="1" applyFill="1" applyBorder="1" applyAlignment="1" applyProtection="1">
      <alignment horizontal="center" vertical="center" wrapText="1"/>
    </xf>
    <xf numFmtId="167" fontId="46" fillId="9" borderId="31" xfId="13" applyNumberFormat="1" applyFont="1" applyFill="1" applyBorder="1" applyAlignment="1" applyProtection="1">
      <alignment horizontal="center" vertical="center" wrapText="1"/>
    </xf>
    <xf numFmtId="0" fontId="49" fillId="12" borderId="31" xfId="0" applyFont="1" applyFill="1" applyBorder="1" applyAlignment="1" applyProtection="1">
      <alignment vertical="center" wrapText="1"/>
    </xf>
    <xf numFmtId="0" fontId="41" fillId="12" borderId="31" xfId="0" applyFont="1" applyFill="1" applyBorder="1" applyAlignment="1" applyProtection="1">
      <alignment vertical="center" wrapText="1"/>
    </xf>
    <xf numFmtId="0" fontId="49" fillId="12" borderId="32" xfId="0" applyFont="1" applyFill="1" applyBorder="1" applyAlignment="1" applyProtection="1">
      <alignment horizontal="center" vertical="center" wrapText="1"/>
    </xf>
    <xf numFmtId="0" fontId="49" fillId="12" borderId="33" xfId="0" applyFont="1" applyFill="1" applyBorder="1" applyAlignment="1" applyProtection="1">
      <alignment horizontal="center" vertical="center" wrapText="1"/>
    </xf>
    <xf numFmtId="0" fontId="49" fillId="12" borderId="34" xfId="0" applyFont="1" applyFill="1" applyBorder="1" applyAlignment="1" applyProtection="1">
      <alignment horizontal="center" vertical="center" wrapText="1"/>
    </xf>
    <xf numFmtId="1" fontId="54" fillId="9" borderId="35" xfId="0" applyNumberFormat="1" applyFont="1" applyFill="1" applyBorder="1" applyAlignment="1">
      <alignment wrapText="1"/>
    </xf>
    <xf numFmtId="167" fontId="47" fillId="9" borderId="16" xfId="13" applyNumberFormat="1" applyFont="1" applyFill="1" applyBorder="1" applyAlignment="1" applyProtection="1">
      <alignment horizontal="left" vertical="center" wrapText="1"/>
    </xf>
    <xf numFmtId="166" fontId="87" fillId="12" borderId="0" xfId="13" applyFill="1" applyBorder="1" applyAlignment="1" applyProtection="1">
      <alignment vertical="center" wrapText="1"/>
    </xf>
    <xf numFmtId="167" fontId="47" fillId="9" borderId="37" xfId="13" applyNumberFormat="1" applyFont="1" applyFill="1" applyBorder="1" applyAlignment="1" applyProtection="1">
      <alignment horizontal="left" vertical="center" wrapText="1"/>
    </xf>
    <xf numFmtId="0" fontId="41" fillId="9" borderId="13" xfId="0" applyFont="1" applyFill="1" applyBorder="1" applyAlignment="1" applyProtection="1">
      <alignment vertical="center" wrapText="1"/>
    </xf>
    <xf numFmtId="168" fontId="87" fillId="12" borderId="0" xfId="13" applyNumberFormat="1" applyFill="1" applyBorder="1" applyAlignment="1" applyProtection="1">
      <alignment horizontal="center" vertical="center" wrapText="1"/>
    </xf>
    <xf numFmtId="0" fontId="41" fillId="12" borderId="36" xfId="0" applyFont="1" applyFill="1" applyBorder="1" applyAlignment="1" applyProtection="1">
      <alignment vertical="center" wrapText="1"/>
    </xf>
    <xf numFmtId="3" fontId="47" fillId="9" borderId="38" xfId="0" applyNumberFormat="1" applyFont="1" applyFill="1" applyBorder="1" applyAlignment="1" applyProtection="1">
      <alignment vertical="center" wrapText="1"/>
    </xf>
    <xf numFmtId="169" fontId="38" fillId="13" borderId="19" xfId="13" applyNumberFormat="1" applyFont="1" applyFill="1" applyBorder="1" applyAlignment="1" applyProtection="1">
      <alignment horizontal="center" vertical="center" wrapText="1"/>
    </xf>
    <xf numFmtId="169" fontId="38" fillId="13" borderId="20" xfId="13" applyNumberFormat="1" applyFont="1" applyFill="1" applyBorder="1" applyAlignment="1" applyProtection="1">
      <alignment horizontal="center" vertical="center" wrapText="1"/>
    </xf>
    <xf numFmtId="169" fontId="38" fillId="13" borderId="21" xfId="13" applyNumberFormat="1" applyFont="1" applyFill="1" applyBorder="1" applyAlignment="1" applyProtection="1">
      <alignment horizontal="center" vertical="center" wrapText="1"/>
    </xf>
    <xf numFmtId="1" fontId="42" fillId="9" borderId="14" xfId="0" applyNumberFormat="1" applyFont="1" applyFill="1" applyBorder="1" applyAlignment="1">
      <alignment wrapText="1"/>
    </xf>
    <xf numFmtId="165" fontId="87" fillId="12" borderId="0" xfId="13" applyNumberFormat="1" applyFill="1" applyBorder="1" applyAlignment="1" applyProtection="1">
      <alignment horizontal="center" vertical="center" wrapText="1"/>
    </xf>
    <xf numFmtId="167" fontId="47" fillId="9" borderId="39" xfId="13" applyNumberFormat="1" applyFont="1" applyFill="1" applyBorder="1" applyAlignment="1" applyProtection="1">
      <alignment horizontal="left" vertical="center" wrapText="1"/>
    </xf>
    <xf numFmtId="0" fontId="46" fillId="9" borderId="0" xfId="0" applyFont="1" applyFill="1" applyBorder="1" applyAlignment="1" applyProtection="1">
      <alignment horizontal="center" vertical="center" wrapText="1"/>
    </xf>
    <xf numFmtId="0" fontId="39" fillId="0" borderId="30" xfId="0" applyFont="1" applyBorder="1" applyAlignment="1">
      <alignment wrapText="1"/>
    </xf>
    <xf numFmtId="0" fontId="39" fillId="0" borderId="31" xfId="0" applyFont="1" applyBorder="1" applyAlignment="1">
      <alignment wrapText="1"/>
    </xf>
    <xf numFmtId="0" fontId="49" fillId="14" borderId="40" xfId="0" applyFont="1" applyFill="1" applyBorder="1" applyAlignment="1" applyProtection="1">
      <alignment horizontal="right" vertical="center" wrapText="1"/>
    </xf>
    <xf numFmtId="167" fontId="47" fillId="9" borderId="41" xfId="13" applyNumberFormat="1" applyFont="1" applyFill="1" applyBorder="1" applyAlignment="1" applyProtection="1">
      <alignment horizontal="left" vertical="center" wrapText="1"/>
    </xf>
    <xf numFmtId="0" fontId="55" fillId="12" borderId="32" xfId="0" applyFont="1" applyFill="1" applyBorder="1" applyAlignment="1" applyProtection="1">
      <alignment horizontal="center" vertical="center" wrapText="1"/>
    </xf>
    <xf numFmtId="0" fontId="55" fillId="12" borderId="33" xfId="0" applyFont="1" applyFill="1" applyBorder="1" applyAlignment="1" applyProtection="1">
      <alignment horizontal="center" vertical="center" wrapText="1"/>
    </xf>
    <xf numFmtId="0" fontId="55" fillId="12" borderId="34" xfId="0" applyFont="1" applyFill="1" applyBorder="1" applyAlignment="1" applyProtection="1">
      <alignment horizontal="center" vertical="center" wrapText="1"/>
    </xf>
    <xf numFmtId="1" fontId="42" fillId="9" borderId="35" xfId="0" applyNumberFormat="1" applyFont="1" applyFill="1" applyBorder="1" applyAlignment="1">
      <alignment wrapText="1"/>
    </xf>
    <xf numFmtId="167" fontId="46" fillId="9" borderId="13" xfId="13" applyNumberFormat="1" applyFont="1" applyFill="1" applyBorder="1" applyAlignment="1" applyProtection="1">
      <alignment horizontal="center" vertical="center" wrapText="1"/>
    </xf>
    <xf numFmtId="167" fontId="46" fillId="9" borderId="0" xfId="13" applyNumberFormat="1" applyFont="1" applyFill="1" applyBorder="1" applyAlignment="1" applyProtection="1">
      <alignment horizontal="center" vertical="center" wrapText="1"/>
    </xf>
    <xf numFmtId="167" fontId="47" fillId="9" borderId="38" xfId="13" applyNumberFormat="1" applyFont="1" applyFill="1" applyBorder="1" applyAlignment="1" applyProtection="1">
      <alignment vertical="center" wrapText="1"/>
    </xf>
    <xf numFmtId="167" fontId="47" fillId="9" borderId="42" xfId="13" applyNumberFormat="1" applyFont="1" applyFill="1" applyBorder="1" applyAlignment="1" applyProtection="1">
      <alignment vertical="center" wrapText="1"/>
    </xf>
    <xf numFmtId="0" fontId="49" fillId="12" borderId="36" xfId="0" applyFont="1" applyFill="1" applyBorder="1" applyAlignment="1" applyProtection="1">
      <alignment horizontal="right" vertical="center" wrapText="1"/>
    </xf>
    <xf numFmtId="3" fontId="47" fillId="9" borderId="43" xfId="0" applyNumberFormat="1" applyFont="1" applyFill="1" applyBorder="1" applyAlignment="1" applyProtection="1">
      <alignment vertical="center" wrapText="1"/>
    </xf>
    <xf numFmtId="164" fontId="47" fillId="9" borderId="44" xfId="16" applyFont="1" applyFill="1" applyBorder="1" applyAlignment="1" applyProtection="1">
      <alignment vertical="center" wrapText="1"/>
    </xf>
    <xf numFmtId="3" fontId="47" fillId="9" borderId="45" xfId="0" applyNumberFormat="1" applyFont="1" applyFill="1" applyBorder="1" applyAlignment="1" applyProtection="1">
      <alignment vertical="center" wrapText="1"/>
    </xf>
    <xf numFmtId="164" fontId="47" fillId="9" borderId="46" xfId="16" applyFont="1" applyFill="1" applyBorder="1" applyAlignment="1" applyProtection="1">
      <alignment vertical="center" wrapText="1"/>
    </xf>
    <xf numFmtId="3" fontId="47" fillId="9" borderId="47" xfId="0" applyNumberFormat="1" applyFont="1" applyFill="1" applyBorder="1" applyAlignment="1" applyProtection="1">
      <alignment vertical="center" wrapText="1"/>
    </xf>
    <xf numFmtId="164" fontId="47" fillId="9" borderId="48" xfId="16" applyFont="1" applyFill="1" applyBorder="1" applyAlignment="1" applyProtection="1">
      <alignment vertical="center" wrapText="1"/>
    </xf>
    <xf numFmtId="167" fontId="47" fillId="9" borderId="49" xfId="13" applyNumberFormat="1" applyFont="1" applyFill="1" applyBorder="1" applyAlignment="1" applyProtection="1">
      <alignment vertical="center" wrapText="1"/>
    </xf>
    <xf numFmtId="164" fontId="47" fillId="9" borderId="41" xfId="16" applyFont="1" applyFill="1" applyBorder="1" applyAlignment="1" applyProtection="1">
      <alignment horizontal="right" vertical="center" wrapText="1"/>
    </xf>
    <xf numFmtId="3" fontId="47" fillId="9" borderId="50" xfId="0" applyNumberFormat="1" applyFont="1" applyFill="1" applyBorder="1" applyAlignment="1" applyProtection="1">
      <alignment vertical="center" wrapText="1"/>
    </xf>
    <xf numFmtId="3" fontId="56" fillId="9" borderId="0" xfId="0" applyNumberFormat="1" applyFont="1" applyFill="1" applyBorder="1" applyAlignment="1" applyProtection="1">
      <alignment horizontal="left" vertical="center" wrapText="1"/>
    </xf>
    <xf numFmtId="3" fontId="47" fillId="9" borderId="22" xfId="0" applyNumberFormat="1" applyFont="1" applyFill="1" applyBorder="1" applyAlignment="1" applyProtection="1">
      <alignment vertical="center" wrapText="1"/>
    </xf>
    <xf numFmtId="3" fontId="47" fillId="9" borderId="24" xfId="0" applyNumberFormat="1" applyFont="1" applyFill="1" applyBorder="1" applyAlignment="1" applyProtection="1">
      <alignment vertical="center" wrapText="1"/>
    </xf>
    <xf numFmtId="164" fontId="47" fillId="9" borderId="51" xfId="16" applyFont="1" applyFill="1" applyBorder="1" applyAlignment="1" applyProtection="1">
      <alignment vertical="center" wrapText="1"/>
    </xf>
    <xf numFmtId="3" fontId="47" fillId="9" borderId="25" xfId="0" applyNumberFormat="1" applyFont="1" applyFill="1" applyBorder="1" applyAlignment="1" applyProtection="1">
      <alignment vertical="center" wrapText="1"/>
    </xf>
    <xf numFmtId="3" fontId="47" fillId="9" borderId="26" xfId="0" applyNumberFormat="1" applyFont="1" applyFill="1" applyBorder="1" applyAlignment="1" applyProtection="1">
      <alignment vertical="center" wrapText="1"/>
    </xf>
    <xf numFmtId="164" fontId="47" fillId="9" borderId="38" xfId="16" applyFont="1" applyFill="1" applyBorder="1" applyAlignment="1" applyProtection="1">
      <alignment vertical="center" wrapText="1"/>
    </xf>
    <xf numFmtId="0" fontId="49" fillId="9" borderId="0" xfId="0" applyFont="1" applyFill="1" applyBorder="1" applyAlignment="1" applyProtection="1">
      <alignment vertical="center" wrapText="1"/>
    </xf>
    <xf numFmtId="0" fontId="49" fillId="9" borderId="30" xfId="0" applyFont="1" applyFill="1" applyBorder="1" applyAlignment="1" applyProtection="1">
      <alignment vertical="center" wrapText="1"/>
    </xf>
    <xf numFmtId="0" fontId="49" fillId="9" borderId="31" xfId="0" applyFont="1" applyFill="1" applyBorder="1" applyAlignment="1" applyProtection="1">
      <alignment vertical="center" wrapText="1"/>
    </xf>
    <xf numFmtId="3" fontId="47" fillId="9" borderId="27" xfId="0" applyNumberFormat="1" applyFont="1" applyFill="1" applyBorder="1" applyAlignment="1" applyProtection="1">
      <alignment vertical="center" wrapText="1"/>
    </xf>
    <xf numFmtId="3" fontId="47" fillId="9" borderId="29" xfId="0" applyNumberFormat="1" applyFont="1" applyFill="1" applyBorder="1" applyAlignment="1" applyProtection="1">
      <alignment vertical="center" wrapText="1"/>
    </xf>
    <xf numFmtId="164" fontId="47" fillId="9" borderId="50" xfId="16" applyFont="1" applyFill="1" applyBorder="1" applyAlignment="1" applyProtection="1">
      <alignment vertical="center" wrapText="1"/>
    </xf>
    <xf numFmtId="0" fontId="57" fillId="9" borderId="0" xfId="0" applyFont="1" applyFill="1" applyAlignment="1">
      <alignment wrapText="1"/>
    </xf>
    <xf numFmtId="0" fontId="49" fillId="9" borderId="13" xfId="0" applyFont="1" applyFill="1" applyBorder="1" applyAlignment="1" applyProtection="1">
      <alignment vertical="center" wrapText="1"/>
    </xf>
    <xf numFmtId="1" fontId="39" fillId="13" borderId="32" xfId="0" applyNumberFormat="1" applyFont="1" applyFill="1" applyBorder="1" applyAlignment="1">
      <alignment horizontal="center" vertical="center" wrapText="1"/>
    </xf>
    <xf numFmtId="1" fontId="39" fillId="13" borderId="33" xfId="0" applyNumberFormat="1" applyFont="1" applyFill="1" applyBorder="1" applyAlignment="1">
      <alignment horizontal="center" vertical="center" wrapText="1"/>
    </xf>
    <xf numFmtId="1" fontId="39" fillId="13" borderId="34" xfId="0" applyNumberFormat="1" applyFont="1" applyFill="1" applyBorder="1" applyAlignment="1">
      <alignment horizontal="center" vertical="center" wrapText="1"/>
    </xf>
    <xf numFmtId="0" fontId="57" fillId="9" borderId="0" xfId="0" applyFont="1" applyFill="1" applyBorder="1" applyAlignment="1">
      <alignment horizontal="center" wrapText="1"/>
    </xf>
    <xf numFmtId="0" fontId="49" fillId="12" borderId="0" xfId="0" applyFont="1" applyFill="1" applyBorder="1" applyAlignment="1" applyProtection="1">
      <alignment horizontal="left" vertical="center" wrapText="1"/>
    </xf>
    <xf numFmtId="0" fontId="50" fillId="12" borderId="0" xfId="0" applyFont="1" applyFill="1" applyBorder="1" applyAlignment="1" applyProtection="1">
      <alignment horizontal="left" vertical="center" wrapText="1"/>
    </xf>
    <xf numFmtId="0" fontId="49" fillId="12" borderId="0" xfId="0" applyFont="1" applyFill="1" applyBorder="1" applyAlignment="1" applyProtection="1">
      <alignment horizontal="right" vertical="center" wrapText="1"/>
    </xf>
    <xf numFmtId="1" fontId="49" fillId="12" borderId="0" xfId="0" applyNumberFormat="1" applyFont="1" applyFill="1" applyBorder="1" applyAlignment="1" applyProtection="1">
      <alignment horizontal="right" vertical="center" wrapText="1"/>
    </xf>
    <xf numFmtId="1" fontId="39" fillId="9" borderId="0" xfId="0" applyNumberFormat="1" applyFont="1" applyFill="1" applyBorder="1" applyAlignment="1">
      <alignment horizontal="center" vertical="center" wrapText="1"/>
    </xf>
    <xf numFmtId="1" fontId="42" fillId="9" borderId="14" xfId="0" applyNumberFormat="1" applyFont="1" applyFill="1" applyBorder="1" applyAlignment="1">
      <alignment horizontal="center" vertical="center" wrapText="1"/>
    </xf>
    <xf numFmtId="0" fontId="50" fillId="12" borderId="0" xfId="0" applyFont="1" applyFill="1" applyBorder="1" applyAlignment="1" applyProtection="1">
      <alignment vertical="center" wrapText="1"/>
    </xf>
    <xf numFmtId="0" fontId="39" fillId="9" borderId="31" xfId="0" applyFont="1" applyFill="1" applyBorder="1" applyAlignment="1">
      <alignment wrapText="1"/>
    </xf>
    <xf numFmtId="1" fontId="42" fillId="9" borderId="31" xfId="0" applyNumberFormat="1" applyFont="1" applyFill="1" applyBorder="1" applyAlignment="1">
      <alignment horizontal="center" vertical="center" wrapText="1"/>
    </xf>
    <xf numFmtId="1" fontId="42" fillId="9" borderId="35" xfId="0" applyNumberFormat="1" applyFont="1" applyFill="1" applyBorder="1" applyAlignment="1">
      <alignment horizontal="center" vertical="center" wrapText="1"/>
    </xf>
    <xf numFmtId="0" fontId="39" fillId="0" borderId="0" xfId="0" applyFont="1" applyFill="1" applyBorder="1" applyAlignment="1">
      <alignment wrapText="1"/>
    </xf>
    <xf numFmtId="170" fontId="49" fillId="12" borderId="0" xfId="0" applyNumberFormat="1" applyFont="1" applyFill="1" applyBorder="1" applyAlignment="1" applyProtection="1">
      <alignment horizontal="left" vertical="center" wrapText="1"/>
    </xf>
    <xf numFmtId="165" fontId="39" fillId="9" borderId="0" xfId="0" applyNumberFormat="1" applyFont="1" applyFill="1" applyBorder="1" applyAlignment="1">
      <alignment horizontal="center" vertical="center" wrapText="1"/>
    </xf>
    <xf numFmtId="0" fontId="39" fillId="9" borderId="0" xfId="0" applyFont="1" applyFill="1" applyAlignment="1">
      <alignment horizontal="left" wrapText="1"/>
    </xf>
    <xf numFmtId="0" fontId="12" fillId="0" borderId="0" xfId="0" applyFont="1" applyFill="1" applyBorder="1" applyAlignment="1" applyProtection="1">
      <alignment vertical="center"/>
    </xf>
    <xf numFmtId="0" fontId="60" fillId="9" borderId="0" xfId="0" applyFont="1" applyFill="1" applyBorder="1" applyAlignment="1">
      <alignment horizontal="left" vertical="center"/>
    </xf>
    <xf numFmtId="0" fontId="12" fillId="9" borderId="0" xfId="0" applyFont="1" applyFill="1" applyBorder="1" applyAlignment="1" applyProtection="1">
      <alignment horizontal="left" vertical="center"/>
    </xf>
    <xf numFmtId="0" fontId="12" fillId="9" borderId="0" xfId="0" applyFont="1" applyFill="1" applyBorder="1" applyAlignment="1" applyProtection="1">
      <alignment horizontal="left" vertical="center" indent="2"/>
    </xf>
    <xf numFmtId="0" fontId="23" fillId="9" borderId="0" xfId="0" applyFont="1" applyFill="1" applyAlignment="1" applyProtection="1">
      <alignment horizontal="left" indent="2"/>
    </xf>
    <xf numFmtId="1" fontId="24" fillId="9" borderId="8" xfId="0" applyNumberFormat="1" applyFont="1" applyFill="1" applyBorder="1" applyAlignment="1" applyProtection="1">
      <alignment vertical="center"/>
    </xf>
    <xf numFmtId="164" fontId="12" fillId="9" borderId="0" xfId="0" applyNumberFormat="1" applyFont="1" applyFill="1" applyAlignment="1" applyProtection="1">
      <alignment horizontal="left" vertical="center"/>
    </xf>
    <xf numFmtId="0" fontId="63" fillId="11" borderId="52" xfId="0" applyFont="1" applyFill="1" applyBorder="1" applyAlignment="1" applyProtection="1">
      <alignment horizontal="right" vertical="center" wrapText="1" indent="1"/>
    </xf>
    <xf numFmtId="1" fontId="65" fillId="12" borderId="53" xfId="0" applyNumberFormat="1" applyFont="1" applyFill="1" applyBorder="1" applyAlignment="1" applyProtection="1">
      <alignment horizontal="right" vertical="center"/>
    </xf>
    <xf numFmtId="0" fontId="65" fillId="12" borderId="8" xfId="0" applyFont="1" applyFill="1" applyBorder="1" applyAlignment="1" applyProtection="1">
      <alignment horizontal="center" vertical="center"/>
    </xf>
    <xf numFmtId="1" fontId="65" fillId="12" borderId="8" xfId="0" applyNumberFormat="1" applyFont="1" applyFill="1" applyBorder="1" applyAlignment="1" applyProtection="1">
      <alignment horizontal="left" vertical="center"/>
    </xf>
    <xf numFmtId="164" fontId="60" fillId="12" borderId="54" xfId="0"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vertical="center"/>
    </xf>
    <xf numFmtId="0" fontId="0" fillId="9" borderId="0" xfId="0" applyFill="1" applyAlignment="1">
      <alignment vertical="center"/>
    </xf>
    <xf numFmtId="0" fontId="0" fillId="9" borderId="0" xfId="0" applyFill="1" applyAlignment="1">
      <alignment horizontal="center" vertical="center"/>
    </xf>
    <xf numFmtId="0" fontId="0" fillId="9" borderId="0" xfId="0" applyFill="1" applyAlignment="1">
      <alignment horizontal="left" vertical="center"/>
    </xf>
    <xf numFmtId="164" fontId="0" fillId="9" borderId="0" xfId="0" applyNumberFormat="1" applyFill="1" applyAlignment="1">
      <alignment horizontal="center" vertical="center"/>
    </xf>
    <xf numFmtId="0" fontId="66" fillId="9" borderId="0" xfId="0" applyFont="1" applyFill="1" applyAlignment="1">
      <alignment horizontal="left" vertical="center"/>
    </xf>
    <xf numFmtId="1" fontId="66" fillId="9" borderId="0" xfId="0" applyNumberFormat="1" applyFont="1" applyFill="1" applyBorder="1" applyAlignment="1">
      <alignment horizontal="center" vertical="center"/>
    </xf>
    <xf numFmtId="0" fontId="67" fillId="9" borderId="0" xfId="0" applyFont="1" applyFill="1" applyAlignment="1">
      <alignment vertical="center"/>
    </xf>
    <xf numFmtId="0" fontId="0" fillId="9" borderId="0" xfId="0" applyFont="1" applyFill="1" applyAlignment="1">
      <alignment vertical="center"/>
    </xf>
    <xf numFmtId="0" fontId="0" fillId="9" borderId="0" xfId="0" applyFont="1" applyFill="1" applyAlignment="1">
      <alignment horizontal="center" vertical="center"/>
    </xf>
    <xf numFmtId="0" fontId="0" fillId="9" borderId="0" xfId="0" applyFont="1" applyFill="1" applyAlignment="1">
      <alignment horizontal="left" vertical="center"/>
    </xf>
    <xf numFmtId="1" fontId="16" fillId="9" borderId="55" xfId="0" applyNumberFormat="1" applyFont="1" applyFill="1" applyBorder="1" applyAlignment="1">
      <alignment horizontal="left" vertical="center" indent="1"/>
    </xf>
    <xf numFmtId="1" fontId="16" fillId="9" borderId="56" xfId="0" applyNumberFormat="1" applyFont="1" applyFill="1" applyBorder="1" applyAlignment="1">
      <alignment horizontal="right" vertical="center"/>
    </xf>
    <xf numFmtId="0" fontId="16" fillId="9" borderId="56" xfId="0" applyFont="1" applyFill="1" applyBorder="1" applyAlignment="1">
      <alignment horizontal="center" vertical="center"/>
    </xf>
    <xf numFmtId="1" fontId="16" fillId="9" borderId="56" xfId="0" applyNumberFormat="1" applyFont="1" applyFill="1" applyBorder="1" applyAlignment="1">
      <alignment horizontal="left" vertical="center"/>
    </xf>
    <xf numFmtId="164" fontId="14" fillId="9" borderId="57" xfId="0" applyNumberFormat="1" applyFont="1" applyFill="1" applyBorder="1" applyAlignment="1">
      <alignment horizontal="right" vertical="center" indent="1"/>
    </xf>
    <xf numFmtId="1" fontId="22" fillId="12" borderId="55" xfId="0" applyNumberFormat="1" applyFont="1" applyFill="1" applyBorder="1" applyAlignment="1">
      <alignment horizontal="left" vertical="center" indent="1"/>
    </xf>
    <xf numFmtId="1" fontId="22" fillId="12" borderId="56" xfId="0" applyNumberFormat="1" applyFont="1" applyFill="1" applyBorder="1" applyAlignment="1">
      <alignment horizontal="right" vertical="center"/>
    </xf>
    <xf numFmtId="0" fontId="22" fillId="12" borderId="56" xfId="0" applyFont="1" applyFill="1" applyBorder="1" applyAlignment="1">
      <alignment horizontal="center" vertical="center"/>
    </xf>
    <xf numFmtId="1" fontId="22" fillId="12" borderId="56" xfId="0" applyNumberFormat="1" applyFont="1" applyFill="1" applyBorder="1" applyAlignment="1">
      <alignment horizontal="left" vertical="center"/>
    </xf>
    <xf numFmtId="164" fontId="22" fillId="12" borderId="57" xfId="0" applyNumberFormat="1" applyFont="1" applyFill="1" applyBorder="1" applyAlignment="1">
      <alignment horizontal="right" vertical="center" indent="1"/>
    </xf>
    <xf numFmtId="0" fontId="16" fillId="12" borderId="56" xfId="0" applyFont="1" applyFill="1" applyBorder="1" applyAlignment="1">
      <alignment horizontal="center" vertical="center"/>
    </xf>
    <xf numFmtId="0" fontId="68" fillId="9" borderId="0" xfId="0" applyFont="1" applyFill="1" applyBorder="1" applyAlignment="1">
      <alignment vertical="center"/>
    </xf>
    <xf numFmtId="0" fontId="69" fillId="9" borderId="0" xfId="0" applyFont="1" applyFill="1" applyBorder="1" applyAlignment="1">
      <alignment vertical="center"/>
    </xf>
    <xf numFmtId="0" fontId="14" fillId="9" borderId="0" xfId="0" applyFont="1" applyFill="1" applyAlignment="1">
      <alignment horizontal="left" vertical="center"/>
    </xf>
    <xf numFmtId="0" fontId="60" fillId="9" borderId="0" xfId="0" applyFont="1" applyFill="1" applyAlignment="1">
      <alignment horizontal="left" vertical="center"/>
    </xf>
    <xf numFmtId="0" fontId="13" fillId="9" borderId="0" xfId="0" applyFont="1" applyFill="1" applyAlignment="1">
      <alignment horizontal="left" vertical="center"/>
    </xf>
    <xf numFmtId="0" fontId="68" fillId="9" borderId="58" xfId="0" applyFont="1" applyFill="1" applyBorder="1" applyAlignment="1">
      <alignment horizontal="left" vertical="center"/>
    </xf>
    <xf numFmtId="0" fontId="27" fillId="9" borderId="58" xfId="0" applyFont="1" applyFill="1" applyBorder="1" applyAlignment="1">
      <alignment vertical="center" wrapText="1"/>
    </xf>
    <xf numFmtId="0" fontId="68" fillId="9" borderId="0" xfId="0" applyFont="1" applyFill="1" applyBorder="1" applyAlignment="1">
      <alignment horizontal="left" vertical="center"/>
    </xf>
    <xf numFmtId="0" fontId="27" fillId="9" borderId="0" xfId="0" applyFont="1" applyFill="1" applyBorder="1" applyAlignment="1">
      <alignment vertical="center" wrapText="1"/>
    </xf>
    <xf numFmtId="0" fontId="68" fillId="9" borderId="59" xfId="0" applyFont="1" applyFill="1" applyBorder="1" applyAlignment="1">
      <alignment horizontal="right" vertical="center"/>
    </xf>
    <xf numFmtId="0" fontId="68" fillId="9" borderId="60" xfId="0" applyFont="1" applyFill="1" applyBorder="1" applyAlignment="1">
      <alignment horizontal="right" vertical="center"/>
    </xf>
    <xf numFmtId="0" fontId="68" fillId="9" borderId="60" xfId="0" applyFont="1" applyFill="1" applyBorder="1" applyAlignment="1">
      <alignment horizontal="right" vertical="center" wrapText="1"/>
    </xf>
    <xf numFmtId="0" fontId="68" fillId="9" borderId="61" xfId="0" applyFont="1" applyFill="1" applyBorder="1" applyAlignment="1">
      <alignment horizontal="righ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70" fillId="11" borderId="13" xfId="0" applyFont="1" applyFill="1" applyBorder="1" applyAlignment="1">
      <alignment vertical="center" wrapText="1"/>
    </xf>
    <xf numFmtId="0" fontId="71" fillId="11" borderId="0" xfId="0" applyFont="1" applyFill="1" applyBorder="1" applyAlignment="1">
      <alignment vertical="center" wrapText="1"/>
    </xf>
    <xf numFmtId="0" fontId="70" fillId="11" borderId="30" xfId="0" applyFont="1" applyFill="1" applyBorder="1" applyAlignment="1">
      <alignment vertical="center" wrapText="1"/>
    </xf>
    <xf numFmtId="0" fontId="70" fillId="11" borderId="31" xfId="0" applyFont="1" applyFill="1" applyBorder="1" applyAlignment="1">
      <alignment vertical="center" wrapText="1"/>
    </xf>
    <xf numFmtId="0" fontId="73" fillId="0" borderId="30" xfId="0" applyFont="1" applyBorder="1" applyAlignment="1">
      <alignment horizontal="center" vertical="center" wrapText="1"/>
    </xf>
    <xf numFmtId="0" fontId="74" fillId="0" borderId="35" xfId="0" applyFont="1" applyBorder="1" applyAlignment="1">
      <alignment vertical="center" wrapText="1"/>
    </xf>
    <xf numFmtId="0" fontId="73" fillId="0" borderId="30" xfId="0" applyFont="1" applyBorder="1" applyAlignment="1">
      <alignment vertical="center" wrapText="1"/>
    </xf>
    <xf numFmtId="0" fontId="73" fillId="0" borderId="31" xfId="0" applyFont="1" applyBorder="1" applyAlignment="1">
      <alignment vertical="center" wrapText="1"/>
    </xf>
    <xf numFmtId="3" fontId="73" fillId="12" borderId="30" xfId="0" applyNumberFormat="1" applyFont="1" applyFill="1" applyBorder="1" applyAlignment="1" applyProtection="1">
      <alignment horizontal="center" vertical="center" wrapText="1"/>
    </xf>
    <xf numFmtId="3" fontId="73" fillId="12" borderId="35" xfId="0" applyNumberFormat="1" applyFont="1" applyFill="1" applyBorder="1" applyAlignment="1" applyProtection="1">
      <alignment horizontal="center" vertical="center" wrapText="1"/>
    </xf>
    <xf numFmtId="3" fontId="73" fillId="12" borderId="31" xfId="0" applyNumberFormat="1" applyFont="1" applyFill="1" applyBorder="1" applyAlignment="1" applyProtection="1">
      <alignment horizontal="center" vertical="center" wrapText="1"/>
    </xf>
    <xf numFmtId="0" fontId="27" fillId="0" borderId="62" xfId="0" applyFont="1" applyFill="1" applyBorder="1" applyAlignment="1">
      <alignment vertical="center" wrapText="1"/>
    </xf>
    <xf numFmtId="0" fontId="73" fillId="0" borderId="36" xfId="0" applyFont="1" applyFill="1" applyBorder="1" applyAlignment="1">
      <alignment horizontal="center" vertical="center" wrapText="1"/>
    </xf>
    <xf numFmtId="0" fontId="74" fillId="0" borderId="63" xfId="0" applyFont="1" applyFill="1" applyBorder="1" applyAlignment="1">
      <alignment vertical="center" wrapText="1"/>
    </xf>
    <xf numFmtId="0" fontId="70" fillId="11" borderId="64" xfId="0" applyFont="1" applyFill="1" applyBorder="1" applyAlignment="1">
      <alignment vertical="center" wrapText="1"/>
    </xf>
    <xf numFmtId="0" fontId="70" fillId="11" borderId="65" xfId="0" applyFont="1" applyFill="1" applyBorder="1" applyAlignment="1">
      <alignment vertical="center" wrapText="1"/>
    </xf>
    <xf numFmtId="0" fontId="74" fillId="0" borderId="64" xfId="0" applyFont="1" applyBorder="1" applyAlignment="1">
      <alignment horizontal="center" vertical="center" wrapText="1"/>
    </xf>
    <xf numFmtId="0" fontId="74" fillId="0" borderId="66" xfId="0" applyFont="1" applyBorder="1" applyAlignment="1">
      <alignment vertical="center" wrapText="1"/>
    </xf>
    <xf numFmtId="0" fontId="74" fillId="0" borderId="64" xfId="0" applyFont="1" applyBorder="1" applyAlignment="1">
      <alignment vertical="center" wrapText="1"/>
    </xf>
    <xf numFmtId="0" fontId="74" fillId="0" borderId="65" xfId="0" applyFont="1" applyBorder="1" applyAlignment="1">
      <alignment vertical="center" wrapText="1"/>
    </xf>
    <xf numFmtId="3" fontId="74" fillId="12" borderId="66" xfId="0" applyNumberFormat="1" applyFont="1" applyFill="1" applyBorder="1" applyAlignment="1" applyProtection="1">
      <alignment horizontal="center" vertical="center" wrapText="1"/>
    </xf>
    <xf numFmtId="3" fontId="74" fillId="12" borderId="65" xfId="0" applyNumberFormat="1" applyFont="1" applyFill="1" applyBorder="1" applyAlignment="1" applyProtection="1">
      <alignment horizontal="center" vertical="center" wrapText="1"/>
    </xf>
    <xf numFmtId="3" fontId="73" fillId="12" borderId="66" xfId="0" applyNumberFormat="1" applyFont="1" applyFill="1" applyBorder="1" applyAlignment="1" applyProtection="1">
      <alignment horizontal="center" vertical="center" wrapText="1"/>
    </xf>
    <xf numFmtId="0" fontId="74" fillId="0" borderId="36" xfId="0" applyFont="1" applyFill="1" applyBorder="1" applyAlignment="1">
      <alignment vertical="center" wrapText="1"/>
    </xf>
    <xf numFmtId="0" fontId="70" fillId="11" borderId="67" xfId="0" applyFont="1" applyFill="1" applyBorder="1" applyAlignment="1">
      <alignment vertical="center" wrapText="1"/>
    </xf>
    <xf numFmtId="0" fontId="74" fillId="0" borderId="67" xfId="0" applyFont="1" applyBorder="1" applyAlignment="1">
      <alignment horizontal="center" vertical="center" wrapText="1"/>
    </xf>
    <xf numFmtId="0" fontId="74" fillId="0" borderId="68" xfId="0" applyFont="1" applyBorder="1" applyAlignment="1">
      <alignment vertical="center" wrapText="1"/>
    </xf>
    <xf numFmtId="0" fontId="74" fillId="0" borderId="67" xfId="0" applyFont="1" applyBorder="1" applyAlignment="1">
      <alignment vertical="center" wrapText="1"/>
    </xf>
    <xf numFmtId="0" fontId="74" fillId="0" borderId="69" xfId="0" applyFont="1" applyBorder="1" applyAlignment="1">
      <alignment vertical="center" wrapText="1"/>
    </xf>
    <xf numFmtId="3" fontId="74" fillId="12" borderId="67" xfId="0" applyNumberFormat="1" applyFont="1" applyFill="1" applyBorder="1" applyAlignment="1" applyProtection="1">
      <alignment horizontal="center" vertical="center" wrapText="1"/>
    </xf>
    <xf numFmtId="3" fontId="73" fillId="12" borderId="68" xfId="0" applyNumberFormat="1" applyFont="1" applyFill="1" applyBorder="1" applyAlignment="1" applyProtection="1">
      <alignment horizontal="center" vertical="center" wrapText="1"/>
    </xf>
    <xf numFmtId="3" fontId="74" fillId="12" borderId="69" xfId="0" applyNumberFormat="1" applyFont="1" applyFill="1" applyBorder="1" applyAlignment="1" applyProtection="1">
      <alignment horizontal="center" vertical="center" wrapText="1"/>
    </xf>
    <xf numFmtId="0" fontId="74" fillId="0" borderId="70" xfId="0" applyFont="1" applyBorder="1" applyAlignment="1">
      <alignment vertical="center" wrapText="1"/>
    </xf>
    <xf numFmtId="0" fontId="74" fillId="0" borderId="71" xfId="0" applyFont="1" applyBorder="1" applyAlignment="1">
      <alignment vertical="center" wrapText="1"/>
    </xf>
    <xf numFmtId="0" fontId="74" fillId="0" borderId="72" xfId="0" applyFont="1" applyBorder="1" applyAlignment="1">
      <alignment vertical="center" wrapText="1"/>
    </xf>
    <xf numFmtId="0" fontId="74" fillId="0" borderId="14" xfId="0" applyFont="1" applyBorder="1" applyAlignment="1">
      <alignment vertical="center" wrapText="1"/>
    </xf>
    <xf numFmtId="0" fontId="74" fillId="0" borderId="13" xfId="0" applyFont="1" applyBorder="1" applyAlignment="1">
      <alignment vertical="center" wrapText="1"/>
    </xf>
    <xf numFmtId="0" fontId="74" fillId="0" borderId="0" xfId="0" applyFont="1" applyBorder="1" applyAlignment="1">
      <alignment vertical="center" wrapText="1"/>
    </xf>
    <xf numFmtId="3" fontId="74" fillId="12" borderId="68" xfId="0" applyNumberFormat="1" applyFont="1" applyFill="1" applyBorder="1" applyAlignment="1" applyProtection="1">
      <alignment horizontal="center" vertical="center" wrapText="1"/>
    </xf>
    <xf numFmtId="0" fontId="74" fillId="0" borderId="73" xfId="0" applyFont="1" applyBorder="1" applyAlignment="1">
      <alignment vertical="center" wrapText="1"/>
    </xf>
    <xf numFmtId="0" fontId="74" fillId="0" borderId="74" xfId="0" applyFont="1" applyBorder="1" applyAlignment="1">
      <alignment vertical="center" wrapText="1"/>
    </xf>
    <xf numFmtId="0" fontId="74" fillId="0" borderId="75" xfId="0" applyFont="1" applyBorder="1" applyAlignment="1">
      <alignment vertical="center" wrapText="1"/>
    </xf>
    <xf numFmtId="0" fontId="74" fillId="0" borderId="76" xfId="0" applyFont="1" applyBorder="1" applyAlignment="1">
      <alignment vertical="center" wrapText="1"/>
    </xf>
    <xf numFmtId="0" fontId="27" fillId="0" borderId="77" xfId="0" applyFont="1" applyFill="1" applyBorder="1" applyAlignment="1">
      <alignment vertical="center" wrapText="1"/>
    </xf>
    <xf numFmtId="0" fontId="74" fillId="0" borderId="40" xfId="0" applyFont="1" applyFill="1" applyBorder="1" applyAlignment="1">
      <alignment vertical="center" wrapText="1"/>
    </xf>
    <xf numFmtId="0" fontId="27" fillId="0" borderId="78" xfId="0" applyFont="1" applyFill="1" applyBorder="1" applyAlignment="1">
      <alignment vertical="center" wrapText="1"/>
    </xf>
    <xf numFmtId="0" fontId="70" fillId="11" borderId="79" xfId="0" applyFont="1" applyFill="1" applyBorder="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164" fontId="27" fillId="0" borderId="11" xfId="16" applyFont="1" applyFill="1" applyBorder="1" applyAlignment="1" applyProtection="1">
      <alignment horizontal="center" vertical="center" wrapText="1"/>
    </xf>
    <xf numFmtId="0" fontId="27" fillId="0" borderId="11" xfId="0" applyFont="1" applyBorder="1" applyAlignment="1">
      <alignment horizontal="center" vertical="center" wrapText="1"/>
    </xf>
    <xf numFmtId="2" fontId="27" fillId="0" borderId="11" xfId="0" applyNumberFormat="1" applyFont="1" applyBorder="1" applyAlignment="1">
      <alignment vertical="center" wrapText="1"/>
    </xf>
    <xf numFmtId="2" fontId="27" fillId="0" borderId="12" xfId="0" applyNumberFormat="1" applyFont="1" applyBorder="1" applyAlignment="1">
      <alignment vertical="center" wrapText="1"/>
    </xf>
    <xf numFmtId="0" fontId="27" fillId="0" borderId="13" xfId="0" applyFont="1" applyBorder="1" applyAlignment="1">
      <alignment vertical="center" wrapText="1"/>
    </xf>
    <xf numFmtId="0" fontId="27" fillId="0" borderId="0" xfId="0" applyFont="1" applyBorder="1" applyAlignment="1">
      <alignment vertical="center" wrapText="1"/>
    </xf>
    <xf numFmtId="164" fontId="27" fillId="0" borderId="0" xfId="16" applyFont="1" applyFill="1" applyBorder="1" applyAlignment="1" applyProtection="1">
      <alignment horizontal="center" vertical="center" wrapText="1"/>
    </xf>
    <xf numFmtId="2" fontId="27" fillId="0" borderId="0" xfId="0" applyNumberFormat="1" applyFont="1" applyBorder="1" applyAlignment="1">
      <alignment vertical="center" wrapText="1"/>
    </xf>
    <xf numFmtId="2" fontId="27" fillId="0" borderId="14" xfId="0" applyNumberFormat="1" applyFont="1" applyBorder="1" applyAlignment="1">
      <alignment vertical="center" wrapText="1"/>
    </xf>
    <xf numFmtId="164" fontId="27" fillId="0" borderId="0" xfId="0" applyNumberFormat="1" applyFont="1" applyBorder="1" applyAlignment="1">
      <alignment horizontal="center" vertical="center" wrapText="1"/>
    </xf>
    <xf numFmtId="0" fontId="27" fillId="0" borderId="30" xfId="0" applyFont="1" applyBorder="1" applyAlignment="1">
      <alignment vertical="center" wrapText="1"/>
    </xf>
    <xf numFmtId="0" fontId="72" fillId="0" borderId="31" xfId="0" applyFont="1" applyBorder="1" applyAlignment="1">
      <alignment vertical="center" wrapText="1"/>
    </xf>
    <xf numFmtId="0" fontId="27" fillId="0" borderId="31" xfId="0" applyFont="1" applyBorder="1" applyAlignment="1">
      <alignment horizontal="center" vertical="center" wrapText="1"/>
    </xf>
    <xf numFmtId="0" fontId="27" fillId="0" borderId="31" xfId="0" applyFont="1" applyBorder="1" applyAlignment="1">
      <alignment vertical="center" wrapText="1"/>
    </xf>
    <xf numFmtId="0" fontId="27" fillId="0" borderId="35" xfId="0" applyFont="1" applyBorder="1" applyAlignment="1">
      <alignment vertical="center" wrapText="1"/>
    </xf>
    <xf numFmtId="0" fontId="27" fillId="0" borderId="0" xfId="0" applyFont="1"/>
    <xf numFmtId="0" fontId="27" fillId="0" borderId="0" xfId="0" applyFont="1" applyAlignment="1">
      <alignment horizontal="center"/>
    </xf>
    <xf numFmtId="0" fontId="70" fillId="12" borderId="80" xfId="0" applyFont="1" applyFill="1" applyBorder="1" applyAlignment="1" applyProtection="1">
      <alignment horizontal="left" vertical="center" wrapText="1"/>
    </xf>
    <xf numFmtId="0" fontId="70" fillId="12" borderId="80" xfId="0" applyFont="1" applyFill="1" applyBorder="1" applyAlignment="1" applyProtection="1">
      <alignment horizontal="center" vertical="center" wrapText="1"/>
    </xf>
    <xf numFmtId="0" fontId="70" fillId="12" borderId="81" xfId="0" applyFont="1" applyFill="1" applyBorder="1" applyAlignment="1" applyProtection="1">
      <alignment horizontal="center" vertical="center" wrapText="1"/>
    </xf>
    <xf numFmtId="0" fontId="70" fillId="12" borderId="82" xfId="0" applyFont="1" applyFill="1" applyBorder="1" applyAlignment="1" applyProtection="1">
      <alignment horizontal="center" vertical="center" wrapText="1"/>
    </xf>
    <xf numFmtId="0" fontId="70" fillId="12" borderId="83" xfId="0" applyFont="1" applyFill="1" applyBorder="1" applyAlignment="1" applyProtection="1">
      <alignment horizontal="center" vertical="center" wrapText="1"/>
    </xf>
    <xf numFmtId="0" fontId="70" fillId="12" borderId="84" xfId="0" applyFont="1" applyFill="1" applyBorder="1" applyAlignment="1" applyProtection="1">
      <alignment horizontal="center" vertical="center" wrapText="1"/>
    </xf>
    <xf numFmtId="0" fontId="70" fillId="12" borderId="85" xfId="0" applyFont="1" applyFill="1" applyBorder="1" applyAlignment="1" applyProtection="1">
      <alignment horizontal="center" vertical="center" wrapText="1"/>
    </xf>
    <xf numFmtId="3" fontId="72" fillId="12" borderId="86" xfId="0" applyNumberFormat="1" applyFont="1" applyFill="1" applyBorder="1" applyAlignment="1" applyProtection="1">
      <alignment horizontal="center" vertical="center" wrapText="1"/>
    </xf>
    <xf numFmtId="3" fontId="72" fillId="12" borderId="16" xfId="0" applyNumberFormat="1" applyFont="1" applyFill="1" applyBorder="1" applyAlignment="1" applyProtection="1">
      <alignment horizontal="center" vertical="center" wrapText="1"/>
    </xf>
    <xf numFmtId="4" fontId="72" fillId="0" borderId="87" xfId="0" applyNumberFormat="1" applyFont="1" applyFill="1" applyBorder="1" applyAlignment="1" applyProtection="1">
      <alignment horizontal="center" vertical="center" wrapText="1"/>
    </xf>
    <xf numFmtId="3" fontId="72" fillId="0" borderId="80" xfId="0" applyNumberFormat="1" applyFont="1" applyFill="1" applyBorder="1" applyAlignment="1" applyProtection="1">
      <alignment horizontal="center" vertical="center" wrapText="1"/>
    </xf>
    <xf numFmtId="3" fontId="72" fillId="0" borderId="81" xfId="0" applyNumberFormat="1" applyFont="1" applyFill="1" applyBorder="1" applyAlignment="1" applyProtection="1">
      <alignment horizontal="center" vertical="center" wrapText="1"/>
    </xf>
    <xf numFmtId="164" fontId="27" fillId="0" borderId="0" xfId="16" applyFont="1" applyFill="1" applyBorder="1" applyAlignment="1" applyProtection="1"/>
    <xf numFmtId="0" fontId="27" fillId="0" borderId="13" xfId="0" applyFont="1" applyBorder="1"/>
    <xf numFmtId="0" fontId="27" fillId="0" borderId="0" xfId="0" applyFont="1" applyBorder="1"/>
    <xf numFmtId="165" fontId="27" fillId="0" borderId="0" xfId="0" applyNumberFormat="1" applyFont="1" applyBorder="1"/>
    <xf numFmtId="165" fontId="27" fillId="0" borderId="14" xfId="0" applyNumberFormat="1" applyFont="1" applyBorder="1"/>
    <xf numFmtId="0" fontId="70" fillId="12" borderId="81" xfId="0" applyFont="1" applyFill="1" applyBorder="1" applyAlignment="1" applyProtection="1">
      <alignment horizontal="left" vertical="center" wrapText="1"/>
    </xf>
    <xf numFmtId="3" fontId="72" fillId="12" borderId="22" xfId="0" applyNumberFormat="1" applyFont="1" applyFill="1" applyBorder="1" applyAlignment="1" applyProtection="1">
      <alignment horizontal="center" vertical="center" wrapText="1"/>
    </xf>
    <xf numFmtId="3" fontId="72" fillId="12" borderId="51" xfId="0" applyNumberFormat="1" applyFont="1" applyFill="1" applyBorder="1" applyAlignment="1" applyProtection="1">
      <alignment horizontal="center" vertical="center" wrapText="1"/>
    </xf>
    <xf numFmtId="0" fontId="27" fillId="15" borderId="88" xfId="0" applyFont="1" applyFill="1" applyBorder="1"/>
    <xf numFmtId="0" fontId="27" fillId="15" borderId="31" xfId="0" applyFont="1" applyFill="1" applyBorder="1"/>
    <xf numFmtId="0" fontId="70" fillId="0" borderId="0" xfId="0" applyFont="1" applyFill="1" applyBorder="1" applyAlignment="1" applyProtection="1">
      <alignment horizontal="left" vertical="center" wrapText="1"/>
    </xf>
    <xf numFmtId="3" fontId="72" fillId="0" borderId="0" xfId="0" applyNumberFormat="1" applyFont="1" applyFill="1" applyBorder="1" applyAlignment="1" applyProtection="1">
      <alignment horizontal="center" vertical="center" wrapText="1"/>
    </xf>
    <xf numFmtId="4" fontId="72" fillId="0" borderId="0" xfId="0" applyNumberFormat="1" applyFont="1" applyFill="1" applyBorder="1" applyAlignment="1" applyProtection="1">
      <alignment horizontal="center" vertical="center" wrapText="1"/>
    </xf>
    <xf numFmtId="0" fontId="72" fillId="0" borderId="88" xfId="0" applyFont="1" applyFill="1" applyBorder="1"/>
    <xf numFmtId="0" fontId="70" fillId="12" borderId="89" xfId="0" applyFont="1" applyFill="1" applyBorder="1" applyAlignment="1" applyProtection="1">
      <alignment horizontal="left" vertical="center" wrapText="1"/>
    </xf>
    <xf numFmtId="3" fontId="72" fillId="12" borderId="89" xfId="0" applyNumberFormat="1" applyFont="1" applyFill="1" applyBorder="1" applyAlignment="1" applyProtection="1">
      <alignment horizontal="center" vertical="center" wrapText="1"/>
    </xf>
    <xf numFmtId="164" fontId="72" fillId="12" borderId="90" xfId="16" applyFont="1" applyFill="1" applyBorder="1" applyAlignment="1" applyProtection="1">
      <alignment horizontal="center" vertical="center" wrapText="1"/>
    </xf>
    <xf numFmtId="3" fontId="72" fillId="12" borderId="50" xfId="0" applyNumberFormat="1" applyFont="1" applyFill="1" applyBorder="1" applyAlignment="1" applyProtection="1">
      <alignment horizontal="center" vertical="center" wrapText="1"/>
    </xf>
    <xf numFmtId="3" fontId="72" fillId="0" borderId="89" xfId="0" applyNumberFormat="1" applyFont="1" applyFill="1" applyBorder="1" applyAlignment="1" applyProtection="1">
      <alignment horizontal="center" vertical="center" wrapText="1"/>
    </xf>
    <xf numFmtId="164" fontId="27" fillId="0" borderId="0" xfId="0" applyNumberFormat="1" applyFont="1"/>
    <xf numFmtId="0" fontId="70" fillId="12" borderId="0" xfId="0" applyFont="1" applyFill="1" applyBorder="1" applyAlignment="1" applyProtection="1">
      <alignment horizontal="left" vertical="center" wrapText="1"/>
    </xf>
    <xf numFmtId="3" fontId="72" fillId="12" borderId="0" xfId="0" applyNumberFormat="1" applyFont="1" applyFill="1" applyBorder="1" applyAlignment="1" applyProtection="1">
      <alignment horizontal="center" vertical="center" wrapText="1"/>
    </xf>
    <xf numFmtId="164" fontId="72" fillId="12" borderId="0" xfId="16" applyFont="1" applyFill="1" applyBorder="1" applyAlignment="1" applyProtection="1">
      <alignment horizontal="center" vertical="center" wrapText="1"/>
    </xf>
    <xf numFmtId="0" fontId="27" fillId="16" borderId="0" xfId="0" applyFont="1" applyFill="1"/>
    <xf numFmtId="0" fontId="71" fillId="11" borderId="0" xfId="0" applyFont="1" applyFill="1" applyAlignment="1"/>
    <xf numFmtId="0" fontId="70" fillId="11" borderId="0" xfId="0" applyFont="1" applyFill="1"/>
    <xf numFmtId="0" fontId="70" fillId="11" borderId="0" xfId="0" applyFont="1" applyFill="1" applyAlignment="1">
      <alignment horizontal="center"/>
    </xf>
    <xf numFmtId="14" fontId="70" fillId="11" borderId="0" xfId="0" applyNumberFormat="1" applyFont="1" applyFill="1"/>
    <xf numFmtId="0" fontId="70" fillId="11" borderId="0" xfId="12" applyNumberFormat="1" applyFont="1" applyFill="1" applyBorder="1" applyAlignment="1" applyProtection="1"/>
    <xf numFmtId="0" fontId="17" fillId="11" borderId="0" xfId="12" applyNumberFormat="1" applyFill="1" applyBorder="1" applyAlignment="1" applyProtection="1"/>
    <xf numFmtId="0" fontId="77" fillId="0" borderId="0" xfId="0" applyFont="1"/>
    <xf numFmtId="3" fontId="77" fillId="0" borderId="0" xfId="0" applyNumberFormat="1" applyFont="1"/>
    <xf numFmtId="0" fontId="38" fillId="0" borderId="0" xfId="0" applyFont="1"/>
    <xf numFmtId="0" fontId="72" fillId="0" borderId="0" xfId="0" applyFont="1" applyAlignment="1">
      <alignment horizontal="center"/>
    </xf>
    <xf numFmtId="0" fontId="72" fillId="0" borderId="0" xfId="0" applyFont="1"/>
    <xf numFmtId="171" fontId="38" fillId="0" borderId="0" xfId="0" applyNumberFormat="1" applyFont="1"/>
    <xf numFmtId="0" fontId="27" fillId="0" borderId="0" xfId="0" applyFont="1" applyFill="1" applyAlignment="1">
      <alignment horizontal="center"/>
    </xf>
    <xf numFmtId="0" fontId="72" fillId="0" borderId="0" xfId="0" applyFont="1" applyFill="1" applyAlignment="1">
      <alignment horizontal="center"/>
    </xf>
    <xf numFmtId="0" fontId="27" fillId="17" borderId="0" xfId="0" applyFont="1" applyFill="1"/>
    <xf numFmtId="0" fontId="25" fillId="0" borderId="0" xfId="0" applyFont="1" applyBorder="1" applyAlignment="1"/>
    <xf numFmtId="4" fontId="38" fillId="0" borderId="0" xfId="0" applyNumberFormat="1" applyFont="1"/>
    <xf numFmtId="3" fontId="38" fillId="0" borderId="0" xfId="0" applyNumberFormat="1" applyFont="1"/>
    <xf numFmtId="3" fontId="27" fillId="0" borderId="0" xfId="0" applyNumberFormat="1" applyFont="1"/>
    <xf numFmtId="2" fontId="27" fillId="0" borderId="0" xfId="0" applyNumberFormat="1" applyFont="1"/>
    <xf numFmtId="3" fontId="72" fillId="0" borderId="0" xfId="0" applyNumberFormat="1" applyFont="1"/>
    <xf numFmtId="2" fontId="72" fillId="0" borderId="0" xfId="0" applyNumberFormat="1" applyFont="1"/>
    <xf numFmtId="3" fontId="27" fillId="16" borderId="0" xfId="0" applyNumberFormat="1" applyFont="1" applyFill="1"/>
    <xf numFmtId="2" fontId="27" fillId="16" borderId="0" xfId="0" applyNumberFormat="1" applyFont="1" applyFill="1"/>
    <xf numFmtId="0" fontId="0" fillId="9" borderId="0" xfId="0" applyFont="1" applyFill="1" applyAlignment="1" applyProtection="1">
      <alignment vertical="top" wrapText="1"/>
    </xf>
    <xf numFmtId="0" fontId="66" fillId="0" borderId="0" xfId="0" applyFont="1"/>
    <xf numFmtId="3" fontId="47" fillId="9" borderId="27" xfId="0" applyNumberFormat="1" applyFont="1" applyFill="1" applyBorder="1" applyAlignment="1" applyProtection="1">
      <alignment horizontal="left" vertical="center" wrapText="1"/>
    </xf>
    <xf numFmtId="166" fontId="66" fillId="0" borderId="0" xfId="0" applyNumberFormat="1" applyFont="1"/>
    <xf numFmtId="166" fontId="0" fillId="0" borderId="0" xfId="0" applyNumberFormat="1"/>
    <xf numFmtId="0" fontId="0" fillId="0" borderId="0" xfId="0" applyAlignment="1">
      <alignment wrapText="1"/>
    </xf>
    <xf numFmtId="172" fontId="87" fillId="0" borderId="0" xfId="13" applyNumberFormat="1" applyFill="1"/>
    <xf numFmtId="172" fontId="0" fillId="0" borderId="0" xfId="13" applyNumberFormat="1" applyFont="1" applyAlignment="1">
      <alignment wrapText="1"/>
    </xf>
    <xf numFmtId="172" fontId="87" fillId="23" borderId="0" xfId="13" applyNumberFormat="1" applyFill="1"/>
    <xf numFmtId="172" fontId="0" fillId="0" borderId="0" xfId="13" applyNumberFormat="1" applyFont="1"/>
    <xf numFmtId="3" fontId="88" fillId="0" borderId="0" xfId="0" applyNumberFormat="1" applyFont="1"/>
    <xf numFmtId="172" fontId="87" fillId="0" borderId="0" xfId="13" applyNumberFormat="1" applyAlignment="1">
      <alignment vertical="center"/>
    </xf>
    <xf numFmtId="172" fontId="87" fillId="0" borderId="0" xfId="13" applyNumberFormat="1"/>
    <xf numFmtId="166" fontId="87" fillId="0" borderId="0" xfId="13"/>
    <xf numFmtId="0" fontId="89" fillId="0" borderId="0" xfId="17"/>
    <xf numFmtId="0" fontId="17" fillId="9" borderId="3" xfId="12" applyFill="1" applyBorder="1" applyAlignment="1" applyProtection="1">
      <alignment horizontal="left" vertical="center" indent="1"/>
      <protection locked="0"/>
    </xf>
    <xf numFmtId="0" fontId="90" fillId="0" borderId="0" xfId="0" applyFont="1" applyAlignment="1" applyProtection="1">
      <alignment vertical="center"/>
    </xf>
    <xf numFmtId="0" fontId="91" fillId="0" borderId="0" xfId="0" applyFont="1" applyAlignment="1" applyProtection="1">
      <alignment vertical="center"/>
    </xf>
    <xf numFmtId="3" fontId="44" fillId="13" borderId="0" xfId="0" applyNumberFormat="1" applyFont="1" applyFill="1" applyBorder="1" applyAlignment="1" applyProtection="1">
      <alignment horizontal="right" vertical="center" wrapText="1"/>
    </xf>
    <xf numFmtId="0" fontId="41" fillId="12" borderId="17" xfId="0" applyFont="1" applyFill="1" applyBorder="1" applyAlignment="1" applyProtection="1">
      <alignment horizontal="left" vertical="center" wrapText="1"/>
    </xf>
    <xf numFmtId="0" fontId="49" fillId="14" borderId="0" xfId="0" applyFont="1" applyFill="1" applyBorder="1" applyAlignment="1" applyProtection="1">
      <alignment horizontal="right" vertical="center" wrapText="1"/>
    </xf>
    <xf numFmtId="0" fontId="49" fillId="14" borderId="36" xfId="0" applyFont="1" applyFill="1" applyBorder="1" applyAlignment="1" applyProtection="1">
      <alignment horizontal="right" vertical="center" wrapText="1"/>
    </xf>
    <xf numFmtId="0" fontId="49" fillId="12" borderId="0" xfId="0" applyFont="1" applyFill="1" applyBorder="1" applyAlignment="1" applyProtection="1">
      <alignment horizontal="center" vertical="center" wrapText="1"/>
    </xf>
    <xf numFmtId="0" fontId="49" fillId="12" borderId="0" xfId="0" applyFont="1" applyFill="1" applyBorder="1" applyAlignment="1" applyProtection="1">
      <alignment horizontal="center" vertical="center" textRotation="90" wrapText="1"/>
    </xf>
    <xf numFmtId="0" fontId="27" fillId="0" borderId="0" xfId="0" applyFont="1" applyBorder="1" applyAlignment="1">
      <alignment horizontal="center" vertical="center" wrapText="1"/>
    </xf>
    <xf numFmtId="0" fontId="0" fillId="0" borderId="0" xfId="0" applyFont="1" applyAlignment="1" applyProtection="1">
      <alignment wrapText="1"/>
    </xf>
    <xf numFmtId="0" fontId="0" fillId="8" borderId="0" xfId="0" applyFont="1" applyFill="1" applyAlignment="1" applyProtection="1">
      <alignment wrapText="1"/>
    </xf>
    <xf numFmtId="0" fontId="0" fillId="7" borderId="0" xfId="0" applyFont="1" applyFill="1" applyAlignment="1" applyProtection="1">
      <alignment wrapText="1"/>
    </xf>
    <xf numFmtId="0" fontId="0" fillId="0" borderId="91" xfId="0" applyFont="1" applyBorder="1" applyAlignment="1" applyProtection="1">
      <alignment wrapText="1"/>
    </xf>
    <xf numFmtId="0" fontId="78" fillId="0" borderId="0" xfId="0" applyFont="1" applyAlignment="1" applyProtection="1">
      <alignment wrapText="1"/>
    </xf>
    <xf numFmtId="0" fontId="0" fillId="0" borderId="0" xfId="0" applyAlignment="1" applyProtection="1">
      <alignment wrapText="1"/>
    </xf>
    <xf numFmtId="0" fontId="0" fillId="18" borderId="91" xfId="0" applyFont="1" applyFill="1" applyBorder="1" applyAlignment="1" applyProtection="1">
      <alignment wrapText="1"/>
    </xf>
    <xf numFmtId="0" fontId="0" fillId="18" borderId="80" xfId="0" applyFont="1" applyFill="1" applyBorder="1" applyAlignment="1" applyProtection="1">
      <alignment wrapText="1"/>
    </xf>
    <xf numFmtId="0" fontId="0" fillId="10" borderId="91" xfId="0" applyFont="1" applyFill="1" applyBorder="1" applyAlignment="1" applyProtection="1">
      <alignment wrapText="1"/>
    </xf>
    <xf numFmtId="0" fontId="0" fillId="0" borderId="80" xfId="0" applyFont="1" applyBorder="1" applyAlignment="1" applyProtection="1">
      <alignment wrapText="1"/>
    </xf>
    <xf numFmtId="0" fontId="12" fillId="0" borderId="91" xfId="0" applyFont="1" applyBorder="1" applyAlignment="1" applyProtection="1">
      <alignment wrapText="1"/>
    </xf>
    <xf numFmtId="0" fontId="20" fillId="0" borderId="91" xfId="0" applyFont="1" applyBorder="1" applyAlignment="1" applyProtection="1">
      <alignment wrapText="1"/>
    </xf>
    <xf numFmtId="0" fontId="20" fillId="0" borderId="80" xfId="0" applyFont="1" applyBorder="1" applyAlignment="1" applyProtection="1">
      <alignment wrapText="1"/>
    </xf>
    <xf numFmtId="0" fontId="12" fillId="0" borderId="80" xfId="0" applyFont="1" applyBorder="1" applyAlignment="1" applyProtection="1">
      <alignment wrapText="1"/>
    </xf>
    <xf numFmtId="0" fontId="0" fillId="0" borderId="80" xfId="0" applyFont="1" applyBorder="1" applyAlignment="1" applyProtection="1">
      <alignment vertical="top" wrapText="1"/>
    </xf>
    <xf numFmtId="0" fontId="66" fillId="0" borderId="0" xfId="0" applyFont="1" applyAlignment="1" applyProtection="1">
      <alignment wrapText="1"/>
    </xf>
    <xf numFmtId="0" fontId="16" fillId="0" borderId="91" xfId="0" applyFont="1" applyBorder="1" applyAlignment="1" applyProtection="1">
      <alignment wrapText="1"/>
    </xf>
    <xf numFmtId="0" fontId="16" fillId="10" borderId="91" xfId="0" applyFont="1" applyFill="1" applyBorder="1" applyAlignment="1" applyProtection="1">
      <alignment wrapText="1"/>
    </xf>
    <xf numFmtId="0" fontId="0" fillId="0" borderId="91" xfId="0" applyBorder="1" applyAlignment="1" applyProtection="1">
      <alignment wrapText="1"/>
    </xf>
    <xf numFmtId="0" fontId="0" fillId="0" borderId="80" xfId="0" applyBorder="1" applyAlignment="1" applyProtection="1">
      <alignment wrapText="1"/>
    </xf>
    <xf numFmtId="0" fontId="9" fillId="0" borderId="91" xfId="0" applyFont="1" applyBorder="1" applyAlignment="1" applyProtection="1">
      <alignment wrapText="1"/>
    </xf>
    <xf numFmtId="0" fontId="14" fillId="0" borderId="91" xfId="0" applyFont="1" applyBorder="1" applyAlignment="1" applyProtection="1">
      <alignment wrapText="1"/>
    </xf>
    <xf numFmtId="0" fontId="66" fillId="0" borderId="0" xfId="0" applyFont="1" applyProtection="1"/>
    <xf numFmtId="0" fontId="0" fillId="0" borderId="0" xfId="0" applyFont="1" applyProtection="1"/>
    <xf numFmtId="0" fontId="66" fillId="0" borderId="0" xfId="0" applyFont="1" applyAlignment="1" applyProtection="1">
      <alignment horizontal="left"/>
    </xf>
    <xf numFmtId="0" fontId="0" fillId="15" borderId="0" xfId="0" applyFont="1" applyFill="1" applyAlignment="1" applyProtection="1">
      <alignment wrapText="1"/>
    </xf>
    <xf numFmtId="0" fontId="22" fillId="12" borderId="3" xfId="0" applyFont="1" applyFill="1" applyBorder="1" applyAlignment="1" applyProtection="1">
      <alignment horizontal="left" vertical="center" indent="1"/>
    </xf>
    <xf numFmtId="0" fontId="64" fillId="19" borderId="91" xfId="0" applyFont="1" applyFill="1" applyBorder="1" applyAlignment="1" applyProtection="1">
      <alignment wrapText="1"/>
    </xf>
    <xf numFmtId="0" fontId="0" fillId="15" borderId="91" xfId="0" applyFont="1" applyFill="1" applyBorder="1" applyAlignment="1" applyProtection="1">
      <alignment wrapText="1"/>
    </xf>
    <xf numFmtId="0" fontId="66" fillId="20" borderId="0" xfId="0" applyFont="1" applyFill="1" applyAlignment="1" applyProtection="1">
      <alignment wrapText="1"/>
    </xf>
    <xf numFmtId="0" fontId="14" fillId="12" borderId="3" xfId="0" applyFont="1" applyFill="1" applyBorder="1" applyAlignment="1" applyProtection="1">
      <alignment horizontal="left" vertical="center" indent="1"/>
    </xf>
    <xf numFmtId="0" fontId="14" fillId="12" borderId="3" xfId="0" applyFont="1" applyFill="1" applyBorder="1" applyAlignment="1" applyProtection="1">
      <alignment horizontal="left" vertical="center" wrapText="1"/>
    </xf>
    <xf numFmtId="0" fontId="0" fillId="21" borderId="91" xfId="0" applyFont="1" applyFill="1" applyBorder="1" applyAlignment="1" applyProtection="1">
      <alignment wrapText="1"/>
    </xf>
    <xf numFmtId="0" fontId="66" fillId="22" borderId="92" xfId="0" applyFont="1" applyFill="1" applyBorder="1" applyAlignment="1" applyProtection="1">
      <alignment wrapText="1"/>
    </xf>
    <xf numFmtId="0" fontId="16" fillId="9" borderId="8" xfId="0" applyFont="1" applyFill="1" applyBorder="1" applyAlignment="1" applyProtection="1">
      <alignment horizontal="left" vertical="center" wrapText="1" indent="1"/>
    </xf>
    <xf numFmtId="0" fontId="0" fillId="9" borderId="93" xfId="0" applyFont="1" applyFill="1" applyBorder="1" applyAlignment="1" applyProtection="1">
      <alignment wrapText="1"/>
    </xf>
    <xf numFmtId="0" fontId="81" fillId="9" borderId="93" xfId="0" applyFont="1" applyFill="1" applyBorder="1" applyAlignment="1" applyProtection="1">
      <alignment wrapText="1"/>
    </xf>
    <xf numFmtId="0" fontId="0" fillId="19" borderId="91" xfId="0" applyFont="1" applyFill="1" applyBorder="1" applyAlignment="1" applyProtection="1">
      <alignment wrapText="1"/>
    </xf>
    <xf numFmtId="0" fontId="66" fillId="22" borderId="91" xfId="0" applyFont="1" applyFill="1" applyBorder="1" applyAlignment="1" applyProtection="1">
      <alignment wrapText="1"/>
    </xf>
    <xf numFmtId="0" fontId="16" fillId="9" borderId="8" xfId="0" applyFont="1" applyFill="1" applyBorder="1" applyAlignment="1" applyProtection="1">
      <alignment horizontal="left" vertical="center" indent="1"/>
    </xf>
    <xf numFmtId="0" fontId="0" fillId="9" borderId="91" xfId="0" applyFont="1" applyFill="1" applyBorder="1" applyAlignment="1" applyProtection="1">
      <alignment wrapText="1"/>
    </xf>
    <xf numFmtId="0" fontId="16" fillId="9" borderId="2" xfId="0" applyFont="1" applyFill="1" applyBorder="1" applyAlignment="1" applyProtection="1">
      <alignment horizontal="left" vertical="center" wrapText="1" indent="1"/>
    </xf>
    <xf numFmtId="0" fontId="66" fillId="20" borderId="91" xfId="0" applyFont="1" applyFill="1" applyBorder="1" applyAlignment="1" applyProtection="1">
      <alignment wrapText="1"/>
    </xf>
    <xf numFmtId="0" fontId="16" fillId="9" borderId="6" xfId="0" applyFont="1" applyFill="1" applyBorder="1" applyAlignment="1" applyProtection="1">
      <alignment horizontal="left" vertical="center" wrapText="1" indent="1"/>
    </xf>
    <xf numFmtId="0" fontId="16" fillId="9" borderId="6" xfId="0" applyFont="1" applyFill="1" applyBorder="1" applyAlignment="1" applyProtection="1">
      <alignment horizontal="left" vertical="center" indent="1"/>
    </xf>
    <xf numFmtId="0" fontId="16" fillId="9" borderId="0" xfId="0" applyFont="1" applyFill="1" applyBorder="1" applyAlignment="1" applyProtection="1">
      <alignment horizontal="left" vertical="center" wrapText="1" indent="1"/>
    </xf>
    <xf numFmtId="0" fontId="16" fillId="9" borderId="0" xfId="0" applyFont="1" applyFill="1" applyAlignment="1" applyProtection="1">
      <alignment horizontal="left" vertical="center" wrapText="1" indent="1"/>
    </xf>
    <xf numFmtId="0" fontId="0" fillId="0" borderId="94" xfId="0" applyFont="1" applyBorder="1" applyProtection="1"/>
    <xf numFmtId="0" fontId="81" fillId="9" borderId="91" xfId="0" applyFont="1" applyFill="1" applyBorder="1" applyAlignment="1" applyProtection="1">
      <alignment wrapText="1"/>
    </xf>
    <xf numFmtId="0" fontId="66" fillId="7" borderId="0" xfId="0" applyFont="1" applyFill="1" applyAlignment="1" applyProtection="1">
      <alignment wrapText="1"/>
    </xf>
    <xf numFmtId="0" fontId="1" fillId="0" borderId="91" xfId="0" applyFont="1" applyBorder="1" applyAlignment="1" applyProtection="1">
      <alignment wrapText="1"/>
    </xf>
    <xf numFmtId="0" fontId="1" fillId="0" borderId="80" xfId="0" applyFont="1" applyBorder="1" applyAlignment="1" applyProtection="1">
      <alignment wrapText="1"/>
    </xf>
    <xf numFmtId="0" fontId="82" fillId="0" borderId="91" xfId="0" applyFont="1" applyBorder="1" applyAlignment="1" applyProtection="1">
      <alignment wrapText="1"/>
    </xf>
    <xf numFmtId="0" fontId="78" fillId="0" borderId="80" xfId="0" applyFont="1" applyBorder="1" applyAlignment="1" applyProtection="1">
      <alignment wrapText="1"/>
    </xf>
    <xf numFmtId="0" fontId="68" fillId="9" borderId="58" xfId="0" applyFont="1" applyFill="1" applyBorder="1" applyAlignment="1" applyProtection="1">
      <alignment horizontal="left" vertical="center"/>
    </xf>
    <xf numFmtId="0" fontId="12" fillId="9" borderId="58" xfId="0" applyFont="1" applyFill="1" applyBorder="1" applyAlignment="1" applyProtection="1">
      <alignment vertical="center" wrapText="1"/>
    </xf>
    <xf numFmtId="0" fontId="68" fillId="9" borderId="0" xfId="0" applyFont="1" applyFill="1" applyBorder="1" applyAlignment="1" applyProtection="1">
      <alignment horizontal="left" vertical="center"/>
    </xf>
    <xf numFmtId="0" fontId="12" fillId="9" borderId="0" xfId="0" applyFont="1" applyFill="1" applyBorder="1" applyAlignment="1" applyProtection="1">
      <alignment vertical="center" wrapText="1"/>
    </xf>
    <xf numFmtId="0" fontId="68" fillId="9" borderId="59" xfId="0" applyFont="1" applyFill="1" applyBorder="1" applyAlignment="1" applyProtection="1">
      <alignment horizontal="right" vertical="center"/>
    </xf>
    <xf numFmtId="0" fontId="12" fillId="9" borderId="59" xfId="0" applyFont="1" applyFill="1" applyBorder="1" applyAlignment="1" applyProtection="1">
      <alignment vertical="center" wrapText="1"/>
    </xf>
    <xf numFmtId="0" fontId="68" fillId="9" borderId="60" xfId="0" applyFont="1" applyFill="1" applyBorder="1" applyAlignment="1" applyProtection="1">
      <alignment horizontal="right" vertical="center"/>
    </xf>
    <xf numFmtId="0" fontId="12" fillId="9" borderId="60" xfId="0" applyFont="1" applyFill="1" applyBorder="1" applyAlignment="1" applyProtection="1">
      <alignment vertical="center" wrapText="1"/>
    </xf>
    <xf numFmtId="0" fontId="27" fillId="9" borderId="60" xfId="0" applyFont="1" applyFill="1" applyBorder="1" applyAlignment="1" applyProtection="1">
      <alignment vertical="center" wrapText="1"/>
    </xf>
    <xf numFmtId="0" fontId="68" fillId="9" borderId="60" xfId="0" applyFont="1" applyFill="1" applyBorder="1" applyAlignment="1" applyProtection="1">
      <alignment horizontal="right" vertical="center" wrapText="1"/>
    </xf>
    <xf numFmtId="0" fontId="12" fillId="10" borderId="60" xfId="0" applyFont="1" applyFill="1" applyBorder="1" applyAlignment="1" applyProtection="1">
      <alignment vertical="center" wrapText="1"/>
    </xf>
    <xf numFmtId="0" fontId="83" fillId="9" borderId="60" xfId="0" applyFont="1" applyFill="1" applyBorder="1" applyAlignment="1" applyProtection="1">
      <alignment vertical="center" wrapText="1"/>
    </xf>
    <xf numFmtId="0" fontId="84" fillId="9" borderId="60" xfId="0" applyFont="1" applyFill="1" applyBorder="1" applyAlignment="1" applyProtection="1">
      <alignment vertical="center" wrapText="1"/>
    </xf>
    <xf numFmtId="0" fontId="68" fillId="9" borderId="61" xfId="0" applyFont="1" applyFill="1" applyBorder="1" applyAlignment="1" applyProtection="1">
      <alignment horizontal="right" vertical="center" wrapText="1"/>
    </xf>
    <xf numFmtId="0" fontId="12" fillId="9" borderId="61" xfId="0" applyFont="1" applyFill="1" applyBorder="1" applyAlignment="1" applyProtection="1">
      <alignment vertical="center" wrapText="1"/>
    </xf>
    <xf numFmtId="0" fontId="0" fillId="0" borderId="0" xfId="0" applyFont="1" applyFill="1" applyAlignment="1" applyProtection="1">
      <alignment wrapText="1"/>
    </xf>
    <xf numFmtId="0" fontId="85" fillId="0" borderId="0" xfId="0" applyFont="1" applyAlignment="1" applyProtection="1">
      <alignment horizontal="left" vertical="center" indent="1"/>
    </xf>
    <xf numFmtId="0" fontId="27" fillId="10" borderId="0" xfId="0" applyFont="1" applyFill="1" applyAlignment="1" applyProtection="1">
      <alignment horizontal="left"/>
    </xf>
    <xf numFmtId="49" fontId="86" fillId="0" borderId="0" xfId="0" applyNumberFormat="1" applyFont="1" applyAlignment="1" applyProtection="1">
      <alignment vertical="top"/>
    </xf>
    <xf numFmtId="0" fontId="27" fillId="0" borderId="0" xfId="0" applyFont="1" applyAlignment="1" applyProtection="1">
      <alignment horizontal="left"/>
    </xf>
    <xf numFmtId="0" fontId="38" fillId="0" borderId="0" xfId="0" applyFont="1" applyProtection="1"/>
    <xf numFmtId="0" fontId="0" fillId="0" borderId="0" xfId="0" applyFont="1" applyBorder="1" applyAlignment="1" applyProtection="1">
      <alignment wrapText="1"/>
    </xf>
    <xf numFmtId="0" fontId="27" fillId="0" borderId="0" xfId="0" applyFont="1" applyProtection="1"/>
    <xf numFmtId="164" fontId="14" fillId="9" borderId="57" xfId="0" applyNumberFormat="1" applyFont="1" applyFill="1" applyBorder="1" applyAlignment="1">
      <alignment horizontal="center" vertical="center"/>
    </xf>
    <xf numFmtId="164" fontId="22" fillId="12" borderId="57" xfId="0" applyNumberFormat="1" applyFont="1" applyFill="1" applyBorder="1" applyAlignment="1">
      <alignment horizontal="center" vertical="center"/>
    </xf>
    <xf numFmtId="0" fontId="38" fillId="0" borderId="3" xfId="0" applyFont="1" applyBorder="1" applyAlignment="1" applyProtection="1">
      <alignment horizontal="left" vertical="center" indent="1"/>
    </xf>
    <xf numFmtId="165" fontId="21" fillId="9" borderId="7" xfId="0" applyNumberFormat="1" applyFont="1" applyFill="1" applyBorder="1" applyAlignment="1" applyProtection="1">
      <alignment horizontal="center" vertical="center"/>
    </xf>
    <xf numFmtId="165" fontId="0" fillId="0" borderId="0" xfId="0" applyNumberFormat="1" applyAlignment="1" applyProtection="1">
      <alignment horizontal="left" vertical="center" indent="1"/>
    </xf>
    <xf numFmtId="165" fontId="21" fillId="9" borderId="3" xfId="0" applyNumberFormat="1" applyFont="1" applyFill="1" applyBorder="1" applyAlignment="1" applyProtection="1">
      <alignment horizontal="center" vertical="center"/>
    </xf>
    <xf numFmtId="3" fontId="74" fillId="12" borderId="30" xfId="0" applyNumberFormat="1" applyFont="1" applyFill="1" applyBorder="1" applyAlignment="1" applyProtection="1">
      <alignment horizontal="center" vertical="center" wrapText="1"/>
    </xf>
    <xf numFmtId="0" fontId="92" fillId="24" borderId="113" xfId="0" applyFont="1" applyFill="1" applyBorder="1" applyAlignment="1" applyProtection="1">
      <alignment horizontal="left" vertical="center"/>
      <protection locked="0"/>
    </xf>
    <xf numFmtId="0" fontId="92" fillId="24" borderId="114" xfId="0" applyFont="1" applyFill="1" applyBorder="1" applyAlignment="1" applyProtection="1">
      <alignment horizontal="left" vertical="center"/>
      <protection locked="0"/>
    </xf>
    <xf numFmtId="0" fontId="13" fillId="9" borderId="0" xfId="0" applyFont="1" applyFill="1" applyBorder="1" applyAlignment="1" applyProtection="1"/>
    <xf numFmtId="0" fontId="15" fillId="9" borderId="0" xfId="0" applyFont="1" applyFill="1" applyBorder="1" applyAlignment="1" applyProtection="1">
      <alignment horizontal="left" vertical="center"/>
    </xf>
    <xf numFmtId="0" fontId="16" fillId="9" borderId="0" xfId="0" applyFont="1" applyFill="1" applyBorder="1" applyAlignment="1" applyProtection="1">
      <alignment horizontal="left" vertical="top" wrapText="1"/>
    </xf>
    <xf numFmtId="0" fontId="18" fillId="9" borderId="0" xfId="12" applyNumberFormat="1" applyFont="1" applyFill="1" applyBorder="1" applyAlignment="1" applyProtection="1">
      <alignment horizontal="left" vertical="top" wrapText="1"/>
    </xf>
    <xf numFmtId="0" fontId="19" fillId="0" borderId="0" xfId="0" applyFont="1" applyFill="1" applyBorder="1"/>
    <xf numFmtId="0" fontId="18" fillId="9" borderId="0" xfId="0" applyFont="1" applyFill="1" applyBorder="1" applyAlignment="1" applyProtection="1">
      <alignment horizontal="right" vertical="top" wrapText="1"/>
    </xf>
    <xf numFmtId="0" fontId="18" fillId="9" borderId="0" xfId="12" applyNumberFormat="1" applyFont="1" applyFill="1" applyBorder="1" applyAlignment="1" applyProtection="1">
      <alignment horizontal="left" vertical="center" wrapText="1"/>
    </xf>
    <xf numFmtId="0" fontId="21" fillId="9" borderId="3" xfId="0" applyFont="1" applyFill="1" applyBorder="1" applyAlignment="1" applyProtection="1">
      <alignment horizontal="left" vertical="center"/>
    </xf>
    <xf numFmtId="0" fontId="16" fillId="9" borderId="2" xfId="0" applyFont="1" applyFill="1" applyBorder="1" applyAlignment="1" applyProtection="1">
      <alignment horizontal="left" vertical="center"/>
    </xf>
    <xf numFmtId="0" fontId="22" fillId="17" borderId="0" xfId="0" applyFont="1" applyFill="1" applyBorder="1" applyAlignment="1" applyProtection="1">
      <alignment horizontal="left" vertical="center"/>
    </xf>
    <xf numFmtId="0" fontId="16" fillId="9" borderId="0" xfId="0" applyFont="1" applyFill="1" applyBorder="1" applyAlignment="1" applyProtection="1">
      <alignment horizontal="left" vertical="center" wrapText="1"/>
    </xf>
    <xf numFmtId="0" fontId="14" fillId="9"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9" borderId="0" xfId="0" applyFont="1" applyFill="1" applyBorder="1" applyAlignment="1">
      <alignment horizontal="left" vertical="center"/>
    </xf>
    <xf numFmtId="0" fontId="13" fillId="9" borderId="0" xfId="0" applyFont="1" applyFill="1" applyBorder="1" applyAlignment="1">
      <alignment horizontal="left" vertical="center"/>
    </xf>
    <xf numFmtId="0" fontId="13" fillId="9" borderId="0" xfId="0" applyFont="1" applyFill="1" applyBorder="1" applyAlignment="1" applyProtection="1">
      <alignment horizontal="left" vertical="center"/>
    </xf>
    <xf numFmtId="0" fontId="16" fillId="15" borderId="0" xfId="0" applyFont="1" applyFill="1" applyBorder="1" applyAlignment="1" applyProtection="1">
      <alignment horizontal="left" vertical="center" wrapText="1"/>
    </xf>
    <xf numFmtId="0" fontId="12" fillId="9" borderId="9" xfId="0" applyFont="1" applyFill="1" applyBorder="1" applyAlignment="1" applyProtection="1">
      <alignment horizontal="left" vertical="center"/>
    </xf>
    <xf numFmtId="0" fontId="16" fillId="9" borderId="9"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8" xfId="0" applyFont="1" applyFill="1" applyBorder="1" applyAlignment="1">
      <alignment horizontal="center" vertical="center"/>
    </xf>
    <xf numFmtId="0" fontId="16" fillId="9" borderId="8" xfId="0" applyFont="1" applyFill="1" applyBorder="1" applyAlignment="1">
      <alignment horizontal="center" vertical="center" wrapText="1"/>
    </xf>
    <xf numFmtId="0" fontId="27" fillId="9" borderId="0" xfId="0" applyFont="1" applyFill="1" applyBorder="1" applyAlignment="1" applyProtection="1">
      <alignment horizontal="right"/>
    </xf>
    <xf numFmtId="0" fontId="13" fillId="9" borderId="0" xfId="0" applyFont="1" applyFill="1" applyBorder="1" applyAlignment="1">
      <alignment horizontal="left" vertical="top"/>
    </xf>
    <xf numFmtId="0" fontId="14" fillId="9" borderId="95" xfId="0" applyFont="1" applyFill="1" applyBorder="1" applyAlignment="1">
      <alignment horizontal="left" vertical="center" indent="1"/>
    </xf>
    <xf numFmtId="164" fontId="14" fillId="9" borderId="96" xfId="0" applyNumberFormat="1" applyFont="1" applyFill="1" applyBorder="1" applyAlignment="1">
      <alignment horizontal="center" vertical="center"/>
    </xf>
    <xf numFmtId="1" fontId="14" fillId="9" borderId="96" xfId="0" applyNumberFormat="1" applyFont="1" applyFill="1" applyBorder="1" applyAlignment="1">
      <alignment horizontal="center" vertical="center"/>
    </xf>
    <xf numFmtId="1" fontId="14" fillId="9" borderId="87" xfId="0" applyNumberFormat="1" applyFont="1" applyFill="1" applyBorder="1" applyAlignment="1">
      <alignment horizontal="center" vertical="center"/>
    </xf>
    <xf numFmtId="0" fontId="16" fillId="9" borderId="0" xfId="0" applyFont="1" applyFill="1" applyBorder="1" applyAlignment="1">
      <alignment horizontal="left" vertical="center"/>
    </xf>
    <xf numFmtId="0" fontId="12" fillId="9" borderId="8" xfId="0" applyFont="1" applyFill="1" applyBorder="1" applyAlignment="1">
      <alignment horizontal="left" vertical="center"/>
    </xf>
    <xf numFmtId="164" fontId="22" fillId="11" borderId="97" xfId="0" applyNumberFormat="1" applyFont="1" applyFill="1" applyBorder="1" applyAlignment="1">
      <alignment horizontal="center" vertical="center"/>
    </xf>
    <xf numFmtId="0" fontId="22" fillId="12" borderId="3" xfId="0" applyFont="1" applyFill="1" applyBorder="1" applyAlignment="1">
      <alignment horizontal="left" vertical="center" indent="1"/>
    </xf>
    <xf numFmtId="0" fontId="22" fillId="11" borderId="0" xfId="0" applyFont="1" applyFill="1" applyBorder="1" applyAlignment="1">
      <alignment horizontal="left" vertical="center" indent="1"/>
    </xf>
    <xf numFmtId="164" fontId="22" fillId="11" borderId="0" xfId="0" applyNumberFormat="1" applyFont="1" applyFill="1" applyBorder="1" applyAlignment="1">
      <alignment horizontal="center" vertical="center"/>
    </xf>
    <xf numFmtId="1" fontId="22" fillId="11" borderId="0" xfId="0" applyNumberFormat="1" applyFont="1" applyFill="1" applyBorder="1" applyAlignment="1">
      <alignment horizontal="center" vertical="center"/>
    </xf>
    <xf numFmtId="0" fontId="45" fillId="12" borderId="0" xfId="0" applyFont="1" applyFill="1" applyBorder="1" applyAlignment="1" applyProtection="1">
      <alignment horizontal="center" vertical="center" textRotation="90" wrapText="1"/>
    </xf>
    <xf numFmtId="0" fontId="47" fillId="13" borderId="0" xfId="0" applyFont="1" applyFill="1" applyBorder="1" applyAlignment="1" applyProtection="1">
      <alignment horizontal="center" vertical="center" wrapText="1"/>
    </xf>
    <xf numFmtId="3" fontId="48" fillId="0" borderId="86" xfId="0" applyNumberFormat="1" applyFont="1" applyFill="1" applyBorder="1" applyAlignment="1" applyProtection="1">
      <alignment horizontal="center" vertical="center" wrapText="1"/>
    </xf>
    <xf numFmtId="3" fontId="44" fillId="13" borderId="0" xfId="0" applyNumberFormat="1" applyFont="1" applyFill="1" applyBorder="1" applyAlignment="1" applyProtection="1">
      <alignment horizontal="right" vertical="center" wrapText="1"/>
    </xf>
    <xf numFmtId="3" fontId="43" fillId="13" borderId="0" xfId="0" applyNumberFormat="1" applyFont="1" applyFill="1" applyBorder="1" applyAlignment="1" applyProtection="1">
      <alignment horizontal="left" vertical="top" wrapText="1"/>
    </xf>
    <xf numFmtId="0" fontId="44" fillId="13" borderId="0" xfId="0" applyFont="1" applyFill="1" applyBorder="1" applyAlignment="1">
      <alignment horizontal="center" vertical="center" textRotation="90" wrapText="1"/>
    </xf>
    <xf numFmtId="0" fontId="52" fillId="9" borderId="0" xfId="0" applyFont="1" applyFill="1" applyBorder="1" applyAlignment="1" applyProtection="1">
      <alignment horizontal="center" vertical="center" wrapText="1"/>
    </xf>
    <xf numFmtId="0" fontId="49" fillId="14" borderId="11" xfId="0" applyFont="1" applyFill="1" applyBorder="1" applyAlignment="1" applyProtection="1">
      <alignment horizontal="right" vertical="center" wrapText="1"/>
    </xf>
    <xf numFmtId="0" fontId="45" fillId="12" borderId="98" xfId="0" applyFont="1" applyFill="1" applyBorder="1" applyAlignment="1" applyProtection="1">
      <alignment horizontal="center" vertical="center" wrapText="1"/>
    </xf>
    <xf numFmtId="0" fontId="47" fillId="13" borderId="98" xfId="0" applyFont="1" applyFill="1" applyBorder="1" applyAlignment="1" applyProtection="1">
      <alignment horizontal="center" vertical="center" textRotation="90" wrapText="1"/>
    </xf>
    <xf numFmtId="1" fontId="47" fillId="13" borderId="98" xfId="0" applyNumberFormat="1" applyFont="1" applyFill="1" applyBorder="1" applyAlignment="1" applyProtection="1">
      <alignment horizontal="center" vertical="center" textRotation="90" wrapText="1"/>
    </xf>
    <xf numFmtId="0" fontId="53" fillId="14" borderId="99" xfId="0" applyFont="1" applyFill="1" applyBorder="1" applyAlignment="1" applyProtection="1">
      <alignment horizontal="center" vertical="center" wrapText="1"/>
    </xf>
    <xf numFmtId="0" fontId="53" fillId="14" borderId="100" xfId="0" applyFont="1" applyFill="1" applyBorder="1" applyAlignment="1" applyProtection="1">
      <alignment horizontal="center" vertical="center" wrapText="1"/>
    </xf>
    <xf numFmtId="0" fontId="53" fillId="14" borderId="101" xfId="0" applyFont="1" applyFill="1" applyBorder="1" applyAlignment="1" applyProtection="1">
      <alignment horizontal="center" vertical="center" wrapText="1"/>
    </xf>
    <xf numFmtId="0" fontId="41" fillId="12" borderId="17" xfId="0" applyFont="1" applyFill="1" applyBorder="1" applyAlignment="1" applyProtection="1">
      <alignment horizontal="left" vertical="center" wrapText="1"/>
    </xf>
    <xf numFmtId="0" fontId="53" fillId="14" borderId="20" xfId="0" applyFont="1" applyFill="1" applyBorder="1" applyAlignment="1" applyProtection="1">
      <alignment horizontal="center" vertical="center" wrapText="1"/>
    </xf>
    <xf numFmtId="0" fontId="53" fillId="14" borderId="21" xfId="0" applyFont="1" applyFill="1" applyBorder="1" applyAlignment="1" applyProtection="1">
      <alignment horizontal="center" vertical="center" wrapText="1"/>
    </xf>
    <xf numFmtId="0" fontId="41" fillId="12" borderId="36" xfId="0" applyFont="1" applyFill="1" applyBorder="1" applyAlignment="1" applyProtection="1">
      <alignment horizontal="right" vertical="center" wrapText="1"/>
    </xf>
    <xf numFmtId="0" fontId="49" fillId="14" borderId="36" xfId="0" applyFont="1" applyFill="1" applyBorder="1" applyAlignment="1" applyProtection="1">
      <alignment horizontal="right" vertical="center" wrapText="1"/>
    </xf>
    <xf numFmtId="0" fontId="49" fillId="14" borderId="0" xfId="0" applyFont="1" applyFill="1" applyBorder="1" applyAlignment="1" applyProtection="1">
      <alignment horizontal="right" vertical="center" wrapText="1"/>
    </xf>
    <xf numFmtId="0" fontId="45" fillId="12" borderId="31" xfId="0" applyFont="1" applyFill="1" applyBorder="1" applyAlignment="1" applyProtection="1">
      <alignment horizontal="center" vertical="center" wrapText="1"/>
    </xf>
    <xf numFmtId="0" fontId="47" fillId="13" borderId="31" xfId="0" applyFont="1" applyFill="1" applyBorder="1" applyAlignment="1" applyProtection="1">
      <alignment horizontal="center" vertical="center" textRotation="90" wrapText="1"/>
    </xf>
    <xf numFmtId="0" fontId="53" fillId="14" borderId="19" xfId="0" applyFont="1" applyFill="1" applyBorder="1" applyAlignment="1" applyProtection="1">
      <alignment horizontal="center" vertical="center" wrapText="1"/>
    </xf>
    <xf numFmtId="0" fontId="49" fillId="14" borderId="46" xfId="0" applyFont="1" applyFill="1" applyBorder="1" applyAlignment="1" applyProtection="1">
      <alignment horizontal="center" vertical="center" wrapText="1"/>
    </xf>
    <xf numFmtId="0" fontId="53" fillId="12" borderId="20" xfId="0" applyFont="1" applyFill="1" applyBorder="1" applyAlignment="1" applyProtection="1">
      <alignment horizontal="center" vertical="center" wrapText="1"/>
    </xf>
    <xf numFmtId="0" fontId="53" fillId="12" borderId="19" xfId="0" applyFont="1" applyFill="1" applyBorder="1" applyAlignment="1" applyProtection="1">
      <alignment horizontal="center" vertical="center" wrapText="1"/>
    </xf>
    <xf numFmtId="0" fontId="49" fillId="14" borderId="31" xfId="0" applyFont="1" applyFill="1" applyBorder="1" applyAlignment="1" applyProtection="1">
      <alignment horizontal="right" vertical="center" wrapText="1"/>
    </xf>
    <xf numFmtId="0" fontId="49" fillId="14" borderId="102" xfId="0" applyFont="1" applyFill="1" applyBorder="1" applyAlignment="1" applyProtection="1">
      <alignment horizontal="right" vertical="center" wrapText="1"/>
    </xf>
    <xf numFmtId="0" fontId="53" fillId="12" borderId="99" xfId="0" applyFont="1" applyFill="1" applyBorder="1" applyAlignment="1" applyProtection="1">
      <alignment horizontal="center" vertical="center" wrapText="1"/>
    </xf>
    <xf numFmtId="0" fontId="53" fillId="12" borderId="100" xfId="0" applyFont="1" applyFill="1" applyBorder="1" applyAlignment="1" applyProtection="1">
      <alignment horizontal="center" vertical="center" wrapText="1"/>
    </xf>
    <xf numFmtId="0" fontId="49" fillId="12" borderId="0" xfId="0" applyFont="1" applyFill="1" applyBorder="1" applyAlignment="1" applyProtection="1">
      <alignment horizontal="center" vertical="center" wrapText="1"/>
    </xf>
    <xf numFmtId="0" fontId="40" fillId="0" borderId="12" xfId="0" applyFont="1" applyBorder="1" applyAlignment="1">
      <alignment horizontal="center" wrapText="1"/>
    </xf>
    <xf numFmtId="0" fontId="49" fillId="12" borderId="0" xfId="0" applyFont="1" applyFill="1" applyBorder="1" applyAlignment="1" applyProtection="1">
      <alignment horizontal="center" vertical="center" textRotation="90" wrapText="1"/>
    </xf>
    <xf numFmtId="0" fontId="61" fillId="9" borderId="0" xfId="0" applyFont="1" applyFill="1" applyBorder="1" applyAlignment="1" applyProtection="1">
      <alignment horizontal="right" vertical="center"/>
    </xf>
    <xf numFmtId="0" fontId="62" fillId="9" borderId="0" xfId="0" applyFont="1" applyFill="1" applyBorder="1" applyAlignment="1" applyProtection="1">
      <alignment horizontal="left" vertical="top"/>
    </xf>
    <xf numFmtId="0" fontId="14" fillId="9" borderId="103" xfId="0" applyFont="1" applyFill="1" applyBorder="1" applyAlignment="1" applyProtection="1">
      <alignment horizontal="right" vertical="center"/>
    </xf>
    <xf numFmtId="1" fontId="14" fillId="9" borderId="2" xfId="0" applyNumberFormat="1" applyFont="1" applyFill="1" applyBorder="1" applyAlignment="1" applyProtection="1">
      <alignment horizontal="right" vertical="center"/>
    </xf>
    <xf numFmtId="1" fontId="14" fillId="9" borderId="104" xfId="0" applyNumberFormat="1" applyFont="1" applyFill="1" applyBorder="1" applyAlignment="1" applyProtection="1">
      <alignment horizontal="left" vertical="center"/>
    </xf>
    <xf numFmtId="0" fontId="27" fillId="9" borderId="2" xfId="0" applyFont="1" applyFill="1" applyBorder="1" applyAlignment="1" applyProtection="1">
      <alignment horizontal="right" vertical="top"/>
    </xf>
    <xf numFmtId="0" fontId="64" fillId="11" borderId="6" xfId="0" applyFont="1" applyFill="1" applyBorder="1" applyAlignment="1" applyProtection="1">
      <alignment horizontal="center" vertical="center" wrapText="1"/>
    </xf>
    <xf numFmtId="0" fontId="64" fillId="11" borderId="105" xfId="0" applyFont="1" applyFill="1" applyBorder="1" applyAlignment="1" applyProtection="1">
      <alignment horizontal="center" vertical="center" wrapText="1"/>
    </xf>
    <xf numFmtId="0" fontId="64" fillId="12" borderId="106" xfId="0" applyFont="1" applyFill="1" applyBorder="1" applyAlignment="1" applyProtection="1">
      <alignment horizontal="center" vertical="center" wrapText="1"/>
    </xf>
    <xf numFmtId="0" fontId="65" fillId="9" borderId="106" xfId="14" applyFont="1" applyFill="1" applyBorder="1" applyAlignment="1" applyProtection="1">
      <alignment horizontal="left" vertical="center" wrapText="1" indent="1"/>
    </xf>
    <xf numFmtId="0" fontId="64" fillId="12" borderId="107" xfId="0" applyFont="1" applyFill="1" applyBorder="1" applyAlignment="1" applyProtection="1">
      <alignment horizontal="center" vertical="center" wrapText="1"/>
    </xf>
    <xf numFmtId="0" fontId="64" fillId="12" borderId="105" xfId="0" applyFont="1" applyFill="1" applyBorder="1" applyAlignment="1" applyProtection="1">
      <alignment horizontal="center" vertical="center" wrapText="1"/>
    </xf>
    <xf numFmtId="0" fontId="14" fillId="9" borderId="0" xfId="0" applyFont="1" applyFill="1" applyBorder="1" applyAlignment="1">
      <alignment horizontal="left" vertical="center" indent="7"/>
    </xf>
    <xf numFmtId="0" fontId="13" fillId="9" borderId="0" xfId="0" applyFont="1" applyFill="1" applyBorder="1" applyAlignment="1">
      <alignment horizontal="left" indent="7"/>
    </xf>
    <xf numFmtId="0" fontId="66" fillId="9" borderId="0" xfId="0" applyFont="1" applyFill="1" applyBorder="1" applyAlignment="1">
      <alignment horizontal="left" vertical="center"/>
    </xf>
    <xf numFmtId="0" fontId="0" fillId="9" borderId="0" xfId="0" applyFill="1" applyBorder="1" applyAlignment="1">
      <alignment horizontal="left" vertical="top" wrapText="1"/>
    </xf>
    <xf numFmtId="1" fontId="22" fillId="12" borderId="1" xfId="0" applyNumberFormat="1" applyFont="1" applyFill="1" applyBorder="1" applyAlignment="1">
      <alignment horizontal="left" vertical="center" indent="1"/>
    </xf>
    <xf numFmtId="0" fontId="27" fillId="0" borderId="0" xfId="0" applyFont="1" applyBorder="1" applyAlignment="1">
      <alignment horizontal="center" vertical="center" wrapText="1"/>
    </xf>
    <xf numFmtId="0" fontId="64" fillId="11" borderId="13" xfId="0" applyFont="1" applyFill="1" applyBorder="1" applyAlignment="1">
      <alignment horizontal="center" vertical="center" wrapText="1"/>
    </xf>
    <xf numFmtId="0" fontId="72" fillId="0" borderId="108" xfId="0" applyFont="1" applyBorder="1" applyAlignment="1">
      <alignment horizontal="center" vertical="center" wrapText="1"/>
    </xf>
    <xf numFmtId="3" fontId="72" fillId="0" borderId="108" xfId="0" applyNumberFormat="1" applyFont="1" applyFill="1" applyBorder="1" applyAlignment="1" applyProtection="1">
      <alignment horizontal="center" vertical="center" wrapText="1"/>
    </xf>
    <xf numFmtId="3" fontId="72" fillId="12" borderId="12" xfId="0" applyNumberFormat="1" applyFont="1" applyFill="1" applyBorder="1" applyAlignment="1" applyProtection="1">
      <alignment horizontal="center" vertical="center" wrapText="1"/>
    </xf>
    <xf numFmtId="3" fontId="72" fillId="12" borderId="108" xfId="0" applyNumberFormat="1" applyFont="1" applyFill="1" applyBorder="1" applyAlignment="1" applyProtection="1">
      <alignment horizontal="center" vertical="center" wrapText="1"/>
    </xf>
    <xf numFmtId="3" fontId="72" fillId="12" borderId="109" xfId="0" applyNumberFormat="1" applyFont="1" applyFill="1" applyBorder="1" applyAlignment="1" applyProtection="1">
      <alignment horizontal="center" vertical="center" wrapText="1"/>
    </xf>
    <xf numFmtId="0" fontId="72" fillId="0" borderId="110" xfId="0" applyFont="1" applyFill="1" applyBorder="1" applyAlignment="1">
      <alignment horizontal="center" vertical="center" wrapText="1"/>
    </xf>
    <xf numFmtId="0" fontId="72" fillId="0" borderId="5" xfId="0" applyFont="1" applyBorder="1" applyAlignment="1">
      <alignment horizontal="center"/>
    </xf>
    <xf numFmtId="0" fontId="70" fillId="12" borderId="111" xfId="0" applyFont="1" applyFill="1" applyBorder="1" applyAlignment="1" applyProtection="1">
      <alignment horizontal="center" vertical="center" wrapText="1"/>
    </xf>
    <xf numFmtId="0" fontId="70" fillId="12" borderId="12" xfId="0" applyFont="1" applyFill="1" applyBorder="1" applyAlignment="1" applyProtection="1">
      <alignment horizontal="center" vertical="center" wrapText="1"/>
    </xf>
    <xf numFmtId="3" fontId="72" fillId="12" borderId="112" xfId="0" applyNumberFormat="1" applyFont="1" applyFill="1" applyBorder="1" applyAlignment="1" applyProtection="1">
      <alignment horizontal="center" vertical="center" wrapText="1"/>
    </xf>
    <xf numFmtId="3" fontId="72" fillId="0" borderId="81" xfId="0" applyNumberFormat="1" applyFont="1" applyFill="1" applyBorder="1" applyAlignment="1" applyProtection="1">
      <alignment horizontal="center" vertical="center" wrapText="1"/>
    </xf>
    <xf numFmtId="0" fontId="76" fillId="15" borderId="30" xfId="0" applyFont="1" applyFill="1" applyBorder="1" applyAlignment="1">
      <alignment horizontal="center"/>
    </xf>
  </cellXfs>
  <cellStyles count="21">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Komma" xfId="13" builtinId="3"/>
    <cellStyle name="Link" xfId="12" builtinId="8"/>
    <cellStyle name="Normal_4. Bilanz Testat" xfId="14" xr:uid="{00000000-0005-0000-0000-00000E000000}"/>
    <cellStyle name="Note 1" xfId="15" xr:uid="{00000000-0005-0000-0000-00000F000000}"/>
    <cellStyle name="Prozent" xfId="16" builtinId="5"/>
    <cellStyle name="Standard" xfId="0" builtinId="0"/>
    <cellStyle name="Standard 2" xfId="17" xr:uid="{00000000-0005-0000-0000-000011000000}"/>
    <cellStyle name="Status 1" xfId="18" xr:uid="{00000000-0005-0000-0000-000012000000}"/>
    <cellStyle name="Text 1" xfId="19" xr:uid="{00000000-0005-0000-0000-000013000000}"/>
    <cellStyle name="Warning 1" xfId="20" xr:uid="{00000000-0005-0000-0000-000014000000}"/>
  </cellStyles>
  <dxfs count="26">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rgb="FF333300"/>
      </font>
      <fill>
        <patternFill>
          <bgColor rgb="FF3333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patternType="solid">
          <bgColor rgb="FF99CC00"/>
        </patternFill>
      </fill>
    </dxf>
    <dxf>
      <font>
        <color theme="0"/>
      </font>
      <fill>
        <patternFill patternType="none">
          <bgColor auto="1"/>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4EE257"/>
      <rgbColor rgb="000000D4"/>
      <rgbColor rgb="00FFFF00"/>
      <rgbColor rgb="00F20884"/>
      <rgbColor rgb="0000FFFF"/>
      <rgbColor rgb="00CC0000"/>
      <rgbColor rgb="00008000"/>
      <rgbColor rgb="00000080"/>
      <rgbColor rgb="00979700"/>
      <rgbColor rgb="00800080"/>
      <rgbColor rgb="00008080"/>
      <rgbColor rgb="00C0C0C0"/>
      <rgbColor rgb="00808080"/>
      <rgbColor rgb="00A6A6A6"/>
      <rgbColor rgb="0090713A"/>
      <rgbColor rgb="00FFFFCC"/>
      <rgbColor rgb="00E6E6E6"/>
      <rgbColor rgb="00660066"/>
      <rgbColor rgb="00EB613D"/>
      <rgbColor rgb="000066CC"/>
      <rgbColor rgb="00DDDDDD"/>
      <rgbColor rgb="00000080"/>
      <rgbColor rgb="00FF00FF"/>
      <rgbColor rgb="00FCF305"/>
      <rgbColor rgb="0000FFFF"/>
      <rgbColor rgb="00800080"/>
      <rgbColor rgb="00800000"/>
      <rgbColor rgb="00008080"/>
      <rgbColor rgb="000000FF"/>
      <rgbColor rgb="0000CCFF"/>
      <rgbColor rgb="00CCFFFF"/>
      <rgbColor rgb="00CCFFCC"/>
      <rgbColor rgb="00FFCCCC"/>
      <rgbColor rgb="00A2BD90"/>
      <rgbColor rgb="00FF99CC"/>
      <rgbColor rgb="00CC99FF"/>
      <rgbColor rgb="00FFCC99"/>
      <rgbColor rgb="003366FF"/>
      <rgbColor rgb="0033CC66"/>
      <rgbColor rgb="0099CC00"/>
      <rgbColor rgb="00CCCC00"/>
      <rgbColor rgb="00FF9900"/>
      <rgbColor rgb="00FF6600"/>
      <rgbColor rgb="00666699"/>
      <rgbColor rgb="00969696"/>
      <rgbColor rgb="00003366"/>
      <rgbColor rgb="00669999"/>
      <rgbColor rgb="00006600"/>
      <rgbColor rgb="00333300"/>
      <rgbColor rgb="00DD0806"/>
      <rgbColor rgb="00993366"/>
      <rgbColor rgb="00404040"/>
      <rgbColor rgb="00333333"/>
    </indexedColors>
    <mruColors>
      <color rgb="FF99CC00"/>
      <color rgb="FF33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851383395949407"/>
          <c:y val="0.33861973135710977"/>
          <c:w val="0.22133711877564599"/>
          <c:h val="0.3209749884205651"/>
        </c:manualLayout>
      </c:layout>
      <c:radarChart>
        <c:radarStyle val="filled"/>
        <c:varyColors val="0"/>
        <c:ser>
          <c:idx val="0"/>
          <c:order val="0"/>
          <c:spPr>
            <a:solidFill>
              <a:srgbClr val="669999"/>
            </a:solidFill>
            <a:ln w="38100">
              <a:solidFill>
                <a:srgbClr val="666699"/>
              </a:solidFill>
              <a:prstDash val="solid"/>
            </a:ln>
          </c:spPr>
          <c:cat>
            <c:strRef>
              <c:f>'5. Values'!$B$18:$B$21</c:f>
              <c:strCache>
                <c:ptCount val="4"/>
                <c:pt idx="0">
                  <c:v>Menschenwürde</c:v>
                </c:pt>
                <c:pt idx="1">
                  <c:v>Solidarität &amp; Gerechtigkeit</c:v>
                </c:pt>
                <c:pt idx="2">
                  <c:v>Ökologische Nachhaltigkeit</c:v>
                </c:pt>
                <c:pt idx="3">
                  <c:v>Transparenz &amp; Mitentscheidung</c:v>
                </c:pt>
              </c:strCache>
            </c:strRef>
          </c:cat>
          <c:val>
            <c:numRef>
              <c:f>'5. Values'!$G$18:$G$21</c:f>
              <c:numCache>
                <c:formatCode>0\ %</c:formatCode>
                <c:ptCount val="4"/>
                <c:pt idx="0">
                  <c:v>0</c:v>
                </c:pt>
                <c:pt idx="1">
                  <c:v>0</c:v>
                </c:pt>
                <c:pt idx="2">
                  <c:v>0</c:v>
                </c:pt>
                <c:pt idx="3">
                  <c:v>0</c:v>
                </c:pt>
              </c:numCache>
            </c:numRef>
          </c:val>
          <c:extLst>
            <c:ext xmlns:c16="http://schemas.microsoft.com/office/drawing/2014/chart" uri="{C3380CC4-5D6E-409C-BE32-E72D297353CC}">
              <c16:uniqueId val="{00000000-FE96-4AB8-9E25-98924EDABE32}"/>
            </c:ext>
          </c:extLst>
        </c:ser>
        <c:dLbls>
          <c:showLegendKey val="0"/>
          <c:showVal val="0"/>
          <c:showCatName val="0"/>
          <c:showSerName val="0"/>
          <c:showPercent val="0"/>
          <c:showBubbleSize val="0"/>
        </c:dLbls>
        <c:axId val="458780312"/>
        <c:axId val="1"/>
      </c:radarChart>
      <c:catAx>
        <c:axId val="45878031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de-DE"/>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031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14308695284049"/>
          <c:y val="0.37536971277283154"/>
          <c:w val="0.23138819744306155"/>
          <c:h val="0.31255050635010495"/>
        </c:manualLayout>
      </c:layout>
      <c:radarChart>
        <c:radarStyle val="filled"/>
        <c:varyColors val="0"/>
        <c:ser>
          <c:idx val="0"/>
          <c:order val="0"/>
          <c:spPr>
            <a:solidFill>
              <a:srgbClr val="669999"/>
            </a:solidFill>
            <a:ln w="38100">
              <a:solidFill>
                <a:srgbClr val="666699"/>
              </a:solidFill>
              <a:prstDash val="solid"/>
            </a:ln>
          </c:spPr>
          <c:cat>
            <c:strRef>
              <c:f>'6. Stakeholder'!$B$18:$B$22</c:f>
              <c:strCache>
                <c:ptCount val="5"/>
                <c:pt idx="0">
                  <c:v>Lieferant*innen</c:v>
                </c:pt>
                <c:pt idx="1">
                  <c:v>Eigentümer*innen und Finanzpartner*innen</c:v>
                </c:pt>
                <c:pt idx="2">
                  <c:v>Mitarbeitende</c:v>
                </c:pt>
                <c:pt idx="3">
                  <c:v>Kund*nnen und Mitunternehmen</c:v>
                </c:pt>
                <c:pt idx="4">
                  <c:v>Gesellschaftliches Umfeld</c:v>
                </c:pt>
              </c:strCache>
            </c:strRef>
          </c:cat>
          <c:val>
            <c:numRef>
              <c:f>'6. Stakeholder'!$G$18:$G$22</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6F2B-446B-BA7C-3D4A23E8319A}"/>
            </c:ext>
          </c:extLst>
        </c:ser>
        <c:dLbls>
          <c:showLegendKey val="0"/>
          <c:showVal val="0"/>
          <c:showCatName val="0"/>
          <c:showSerName val="0"/>
          <c:showPercent val="0"/>
          <c:showBubbleSize val="0"/>
        </c:dLbls>
        <c:axId val="458784248"/>
        <c:axId val="1"/>
      </c:radarChart>
      <c:catAx>
        <c:axId val="45878424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de-DE"/>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4248"/>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5564064217373"/>
          <c:y val="0.23730376022051899"/>
          <c:w val="0.40358492945818841"/>
          <c:h val="0.52102397096965536"/>
        </c:manualLayout>
      </c:layout>
      <c:radarChart>
        <c:radarStyle val="filled"/>
        <c:varyColors val="0"/>
        <c:ser>
          <c:idx val="0"/>
          <c:order val="0"/>
          <c:spPr>
            <a:solidFill>
              <a:srgbClr val="669999"/>
            </a:solidFill>
            <a:ln w="38100">
              <a:solidFill>
                <a:srgbClr val="666699"/>
              </a:solidFill>
              <a:prstDash val="solid"/>
            </a:ln>
          </c:spPr>
          <c:cat>
            <c:strRef>
              <c:f>'7. Topics'!$B$18:$B$37</c:f>
              <c:strCache>
                <c:ptCount val="20"/>
                <c:pt idx="0">
                  <c:v>A1</c:v>
                </c:pt>
                <c:pt idx="1">
                  <c:v>A2</c:v>
                </c:pt>
                <c:pt idx="2">
                  <c:v>A3</c:v>
                </c:pt>
                <c:pt idx="3">
                  <c:v>A4</c:v>
                </c:pt>
                <c:pt idx="4">
                  <c:v>B1</c:v>
                </c:pt>
                <c:pt idx="5">
                  <c:v>B2</c:v>
                </c:pt>
                <c:pt idx="6">
                  <c:v>B3</c:v>
                </c:pt>
                <c:pt idx="7">
                  <c:v>B4</c:v>
                </c:pt>
                <c:pt idx="8">
                  <c:v>C1</c:v>
                </c:pt>
                <c:pt idx="9">
                  <c:v>C2</c:v>
                </c:pt>
                <c:pt idx="10">
                  <c:v>C3</c:v>
                </c:pt>
                <c:pt idx="11">
                  <c:v>C4</c:v>
                </c:pt>
                <c:pt idx="12">
                  <c:v>D1</c:v>
                </c:pt>
                <c:pt idx="13">
                  <c:v>D2</c:v>
                </c:pt>
                <c:pt idx="14">
                  <c:v>D3</c:v>
                </c:pt>
                <c:pt idx="15">
                  <c:v>D4</c:v>
                </c:pt>
                <c:pt idx="16">
                  <c:v>E1</c:v>
                </c:pt>
                <c:pt idx="17">
                  <c:v>E2</c:v>
                </c:pt>
                <c:pt idx="18">
                  <c:v>E3</c:v>
                </c:pt>
                <c:pt idx="19">
                  <c:v>E4</c:v>
                </c:pt>
              </c:strCache>
            </c:strRef>
          </c:cat>
          <c:val>
            <c:numRef>
              <c:f>'7. Topics'!$G$18:$G$37</c:f>
              <c:numCache>
                <c:formatCode>0\ %</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64E5-4FBF-B775-D806AEE7E715}"/>
            </c:ext>
          </c:extLst>
        </c:ser>
        <c:dLbls>
          <c:showLegendKey val="0"/>
          <c:showVal val="0"/>
          <c:showCatName val="0"/>
          <c:showSerName val="0"/>
          <c:showPercent val="0"/>
          <c:showBubbleSize val="0"/>
        </c:dLbls>
        <c:axId val="458783592"/>
        <c:axId val="1"/>
      </c:radarChart>
      <c:catAx>
        <c:axId val="45878359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de-DE"/>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359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1409700</xdr:colOff>
      <xdr:row>0</xdr:row>
      <xdr:rowOff>0</xdr:rowOff>
    </xdr:from>
    <xdr:to>
      <xdr:col>3</xdr:col>
      <xdr:colOff>4429125</xdr:colOff>
      <xdr:row>2</xdr:row>
      <xdr:rowOff>28575</xdr:rowOff>
    </xdr:to>
    <xdr:pic>
      <xdr:nvPicPr>
        <xdr:cNvPr id="1076" name="Picture 44" descr="ECG_EN-screen.png">
          <a:extLst>
            <a:ext uri="{FF2B5EF4-FFF2-40B4-BE49-F238E27FC236}">
              <a16:creationId xmlns:a16="http://schemas.microsoft.com/office/drawing/2014/main" id="{3B6EBDDC-2899-49C1-903B-2934BCC2E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0"/>
          <a:ext cx="30194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1</xdr:row>
      <xdr:rowOff>66675</xdr:rowOff>
    </xdr:from>
    <xdr:to>
      <xdr:col>18</xdr:col>
      <xdr:colOff>9525</xdr:colOff>
      <xdr:row>5</xdr:row>
      <xdr:rowOff>57150</xdr:rowOff>
    </xdr:to>
    <xdr:pic>
      <xdr:nvPicPr>
        <xdr:cNvPr id="6189" name="Picture 44" descr="ECG_EN-screen.png">
          <a:extLst>
            <a:ext uri="{FF2B5EF4-FFF2-40B4-BE49-F238E27FC236}">
              <a16:creationId xmlns:a16="http://schemas.microsoft.com/office/drawing/2014/main" id="{88B9908D-23DB-4459-AABC-5E74A363C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228600"/>
          <a:ext cx="18669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76200</xdr:rowOff>
    </xdr:from>
    <xdr:to>
      <xdr:col>5</xdr:col>
      <xdr:colOff>857250</xdr:colOff>
      <xdr:row>15</xdr:row>
      <xdr:rowOff>762000</xdr:rowOff>
    </xdr:to>
    <xdr:graphicFrame macro="">
      <xdr:nvGraphicFramePr>
        <xdr:cNvPr id="7257" name="Diagramm 1">
          <a:extLst>
            <a:ext uri="{FF2B5EF4-FFF2-40B4-BE49-F238E27FC236}">
              <a16:creationId xmlns:a16="http://schemas.microsoft.com/office/drawing/2014/main" id="{32BC307D-6986-4055-B611-6424AD698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38100</xdr:rowOff>
    </xdr:from>
    <xdr:to>
      <xdr:col>1</xdr:col>
      <xdr:colOff>504825</xdr:colOff>
      <xdr:row>3</xdr:row>
      <xdr:rowOff>142875</xdr:rowOff>
    </xdr:to>
    <xdr:pic>
      <xdr:nvPicPr>
        <xdr:cNvPr id="7258" name="Grafik 3">
          <a:extLst>
            <a:ext uri="{FF2B5EF4-FFF2-40B4-BE49-F238E27FC236}">
              <a16:creationId xmlns:a16="http://schemas.microsoft.com/office/drawing/2014/main" id="{B45DD9B5-83C2-44E5-B42F-8A0B84A5F8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09550"/>
          <a:ext cx="5048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3</xdr:row>
      <xdr:rowOff>85724</xdr:rowOff>
    </xdr:from>
    <xdr:to>
      <xdr:col>5</xdr:col>
      <xdr:colOff>977900</xdr:colOff>
      <xdr:row>15</xdr:row>
      <xdr:rowOff>1066799</xdr:rowOff>
    </xdr:to>
    <xdr:graphicFrame macro="">
      <xdr:nvGraphicFramePr>
        <xdr:cNvPr id="8281" name="Diagramm 1">
          <a:extLst>
            <a:ext uri="{FF2B5EF4-FFF2-40B4-BE49-F238E27FC236}">
              <a16:creationId xmlns:a16="http://schemas.microsoft.com/office/drawing/2014/main" id="{F2C3D0E8-CDD8-434A-A274-91F28E011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123825</xdr:rowOff>
    </xdr:from>
    <xdr:to>
      <xdr:col>1</xdr:col>
      <xdr:colOff>438150</xdr:colOff>
      <xdr:row>3</xdr:row>
      <xdr:rowOff>47625</xdr:rowOff>
    </xdr:to>
    <xdr:pic>
      <xdr:nvPicPr>
        <xdr:cNvPr id="8282" name="Grafik 3">
          <a:extLst>
            <a:ext uri="{FF2B5EF4-FFF2-40B4-BE49-F238E27FC236}">
              <a16:creationId xmlns:a16="http://schemas.microsoft.com/office/drawing/2014/main" id="{5A54532D-EF20-4572-990F-49F12801F5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0</xdr:row>
      <xdr:rowOff>123825</xdr:rowOff>
    </xdr:from>
    <xdr:to>
      <xdr:col>1</xdr:col>
      <xdr:colOff>457200</xdr:colOff>
      <xdr:row>3</xdr:row>
      <xdr:rowOff>47625</xdr:rowOff>
    </xdr:to>
    <xdr:pic>
      <xdr:nvPicPr>
        <xdr:cNvPr id="9305" name="Grafik 3">
          <a:extLst>
            <a:ext uri="{FF2B5EF4-FFF2-40B4-BE49-F238E27FC236}">
              <a16:creationId xmlns:a16="http://schemas.microsoft.com/office/drawing/2014/main" id="{6E8BD266-6384-493B-85CA-F60FC4373D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5048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3</xdr:row>
      <xdr:rowOff>95250</xdr:rowOff>
    </xdr:from>
    <xdr:to>
      <xdr:col>5</xdr:col>
      <xdr:colOff>977900</xdr:colOff>
      <xdr:row>15</xdr:row>
      <xdr:rowOff>1003300</xdr:rowOff>
    </xdr:to>
    <xdr:graphicFrame macro="">
      <xdr:nvGraphicFramePr>
        <xdr:cNvPr id="9306" name="Diagramm 2">
          <a:extLst>
            <a:ext uri="{FF2B5EF4-FFF2-40B4-BE49-F238E27FC236}">
              <a16:creationId xmlns:a16="http://schemas.microsoft.com/office/drawing/2014/main" id="{9DCB01A9-78E4-484D-80CC-9E060F14C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5667375</xdr:colOff>
      <xdr:row>0</xdr:row>
      <xdr:rowOff>152400</xdr:rowOff>
    </xdr:from>
    <xdr:to>
      <xdr:col>2</xdr:col>
      <xdr:colOff>5676900</xdr:colOff>
      <xdr:row>1</xdr:row>
      <xdr:rowOff>152400</xdr:rowOff>
    </xdr:to>
    <xdr:pic>
      <xdr:nvPicPr>
        <xdr:cNvPr id="10285" name="Grafik 3">
          <a:extLst>
            <a:ext uri="{FF2B5EF4-FFF2-40B4-BE49-F238E27FC236}">
              <a16:creationId xmlns:a16="http://schemas.microsoft.com/office/drawing/2014/main" id="{8490B4D7-3507-425D-A341-57203B19E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2425" y="152400"/>
          <a:ext cx="95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hyperlink" Target="http://data.worldbank.org/indicator/NY.GDP.MKTP.PP.CD"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8" Type="http://schemas.openxmlformats.org/officeDocument/2006/relationships/hyperlink" Target="mailto:christian.loy@gmx.at" TargetMode="External"/><Relationship Id="rId3" Type="http://schemas.openxmlformats.org/officeDocument/2006/relationships/hyperlink" Target="mailto:audit@febc.eu" TargetMode="External"/><Relationship Id="rId7" Type="http://schemas.openxmlformats.org/officeDocument/2006/relationships/hyperlink" Target="mailto:christian.loy@gmx.at" TargetMode="External"/><Relationship Id="rId2" Type="http://schemas.openxmlformats.org/officeDocument/2006/relationships/hyperlink" Target="mailto:nodo-empresas@economia-del-bien-comun.es" TargetMode="External"/><Relationship Id="rId1" Type="http://schemas.openxmlformats.org/officeDocument/2006/relationships/hyperlink" Target="mailto:info@economia-del-ben-comune.it" TargetMode="External"/><Relationship Id="rId6" Type="http://schemas.openxmlformats.org/officeDocument/2006/relationships/hyperlink" Target="mailto:bilanz@ecogood.org" TargetMode="External"/><Relationship Id="rId5" Type="http://schemas.openxmlformats.org/officeDocument/2006/relationships/hyperlink" Target="mailto:bilanz@ecogood.org" TargetMode="External"/><Relationship Id="rId10" Type="http://schemas.openxmlformats.org/officeDocument/2006/relationships/printerSettings" Target="../printerSettings/printerSettings5.bin"/><Relationship Id="rId4" Type="http://schemas.openxmlformats.org/officeDocument/2006/relationships/hyperlink" Target="mailto:nodo-empresas@economia-del-bien-comun.es" TargetMode="External"/><Relationship Id="rId9" Type="http://schemas.openxmlformats.org/officeDocument/2006/relationships/hyperlink" Target="mailto:christian.loy@gmx.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41"/>
  <sheetViews>
    <sheetView showGridLines="0" tabSelected="1" zoomScale="136" zoomScaleNormal="136" workbookViewId="0">
      <selection activeCell="B1" sqref="B1:C1"/>
    </sheetView>
  </sheetViews>
  <sheetFormatPr baseColWidth="10" defaultColWidth="10.7109375" defaultRowHeight="12.75" customHeight="1"/>
  <cols>
    <col min="1" max="1" width="2.7109375" style="1" customWidth="1"/>
    <col min="2" max="2" width="11" style="1" customWidth="1"/>
    <col min="3" max="3" width="17.85546875" style="1" customWidth="1"/>
    <col min="4" max="4" width="66.85546875" style="1" customWidth="1"/>
    <col min="5" max="12" width="10.7109375" style="1"/>
    <col min="13" max="13" width="0" style="1" hidden="1" customWidth="1"/>
    <col min="14" max="16384" width="10.7109375" style="1"/>
  </cols>
  <sheetData>
    <row r="1" spans="1:13" ht="29.25" customHeight="1">
      <c r="A1" s="2"/>
      <c r="B1" s="535" t="s">
        <v>687</v>
      </c>
      <c r="C1" s="536"/>
      <c r="D1"/>
    </row>
    <row r="2" spans="1:13" ht="41.25" customHeight="1">
      <c r="A2" s="2"/>
      <c r="B2" s="537" t="str">
        <f>'12.lan'!D4</f>
        <v>GEMEINWOHL-RECHNER</v>
      </c>
      <c r="C2" s="537"/>
      <c r="D2" s="537"/>
      <c r="M2" s="1" t="str">
        <f>IF('12.lan'!B2="","",'12.lan'!B2)</f>
        <v>Select your language</v>
      </c>
    </row>
    <row r="3" spans="1:13" ht="12.75" customHeight="1">
      <c r="A3" s="2"/>
      <c r="B3" s="3" t="str">
        <f>'12.lan'!D6</f>
        <v>Version</v>
      </c>
      <c r="C3" s="4" t="s">
        <v>0</v>
      </c>
      <c r="M3" s="1" t="str">
        <f>IF('12.lan'!B3="","",'12.lan'!B3)</f>
        <v>Deutsch</v>
      </c>
    </row>
    <row r="4" spans="1:13" ht="14.25" customHeight="1">
      <c r="A4" s="2"/>
      <c r="B4" s="2"/>
      <c r="C4" s="2"/>
      <c r="D4" s="2"/>
      <c r="M4" s="1" t="str">
        <f>IF('12.lan'!B4="","",'12.lan'!B4)</f>
        <v>Italiano</v>
      </c>
    </row>
    <row r="5" spans="1:13" ht="18.75" customHeight="1">
      <c r="A5" s="2"/>
      <c r="B5" s="538" t="str">
        <f>'12.lan'!D7</f>
        <v>HERZLICH WILLKOMMEN!</v>
      </c>
      <c r="C5" s="538"/>
      <c r="D5" s="538"/>
      <c r="M5" s="1" t="str">
        <f>IF('12.lan'!B5="","",'12.lan'!B5)</f>
        <v>English</v>
      </c>
    </row>
    <row r="6" spans="1:13" ht="47.25" customHeight="1">
      <c r="A6" s="2"/>
      <c r="B6" s="539" t="str">
        <f>'12.lan'!D8</f>
        <v>Dieses Tool dient zur Berechnung der Gemeinwohl-Punkte Ihres Unternehmens. Es ist eine Ergänzung zum Gemeinwohlbericht und muss gemeinsam mit diesem genutzt werden.  Wir wünschen gutes Gelingen!</v>
      </c>
      <c r="C6" s="539"/>
      <c r="D6" s="539"/>
      <c r="M6" s="1" t="str">
        <f>IF('12.lan'!B6="","",'12.lan'!B6)</f>
        <v>Español</v>
      </c>
    </row>
    <row r="7" spans="1:13" ht="24" customHeight="1">
      <c r="A7" s="2"/>
      <c r="B7" s="2"/>
      <c r="C7" s="2"/>
      <c r="D7" s="2"/>
      <c r="M7" s="1" t="str">
        <f>IF('12.lan'!B7="","",'12.lan'!B7)</f>
        <v>Francais</v>
      </c>
    </row>
    <row r="8" spans="1:13" ht="18.75" customHeight="1">
      <c r="A8" s="2"/>
      <c r="B8" s="538" t="str">
        <f>'12.lan'!D9</f>
        <v>WIE SIE DEN BILANZ-RECHNER RICHTIG VERWENDEN:</v>
      </c>
      <c r="C8" s="538"/>
      <c r="D8" s="538"/>
      <c r="M8" s="1" t="str">
        <f>IF('12.lan'!B8="","",'12.lan'!B8)</f>
        <v>Portugues</v>
      </c>
    </row>
    <row r="9" spans="1:13" ht="29.25" customHeight="1">
      <c r="A9" s="2"/>
      <c r="B9" s="540" t="str">
        <f>'12.lan'!D10</f>
        <v>1. Allgemeines</v>
      </c>
      <c r="C9" s="540"/>
      <c r="D9" s="5" t="str">
        <f>'12.lan'!D11</f>
        <v>Hier können Sie allgemeinen Angaben zu Ihrem Unternehmen machen.</v>
      </c>
      <c r="M9" s="1" t="str">
        <f>IF('12.lan'!B9="","",'12.lan'!B9)</f>
        <v>Griechisch</v>
      </c>
    </row>
    <row r="10" spans="1:13" ht="37.5" customHeight="1">
      <c r="A10" s="2"/>
      <c r="B10" s="541" t="str">
        <f>'12.lan'!D28</f>
        <v>2. Fakten zum Unternehmen</v>
      </c>
      <c r="C10" s="541"/>
      <c r="D10" s="5" t="str">
        <f>'12.lan'!D12</f>
        <v xml:space="preserve">Hier müssen alle geforderten Kenngrößen eingetragen werden, da diese für die Gewichtung der Themen essentiell sind. </v>
      </c>
      <c r="M10" s="1" t="str">
        <f>IF('12.lan'!B10="","",'12.lan'!B10)</f>
        <v/>
      </c>
    </row>
    <row r="11" spans="1:13" ht="48" customHeight="1">
      <c r="A11" s="2"/>
      <c r="B11" s="541" t="str">
        <f>'12.lan'!D29</f>
        <v>3. Berechnung</v>
      </c>
      <c r="C11" s="541"/>
      <c r="D11" s="5" t="str">
        <f>'12.lan'!D13</f>
        <v>Für jedes Thema (A1, B1, ...) kann eine bestimmte Anzahl an Gemeinwohl-Punkten erreicht werden. Um zu ermitteln, wie viele davon Ihr Unternehmen erhält, gehen Sie wie folgt vor:</v>
      </c>
      <c r="M11" s="1" t="str">
        <f>IF('12.lan'!B11="","",'12.lan'!B11)</f>
        <v/>
      </c>
    </row>
    <row r="12" spans="1:13" ht="59.25" customHeight="1">
      <c r="A12" s="2"/>
      <c r="B12" s="542" t="s">
        <v>1</v>
      </c>
      <c r="C12" s="542"/>
      <c r="D12" s="5" t="str">
        <f>'12.lan'!D14</f>
        <v>Beschreiben Sie auf Basis des Arbeitsbuchs in wenigen Stichworten Ist-Zustand und Verbesserungspotenzial für die verschiedenen Aspekte (optional, ist für die Berechnung nicht unbedingt notwendig).</v>
      </c>
      <c r="M12" s="1" t="str">
        <f>IF('12.lan'!B12="","",'12.lan'!B12)</f>
        <v/>
      </c>
    </row>
    <row r="13" spans="1:13" ht="61.5" customHeight="1">
      <c r="A13" s="2"/>
      <c r="B13" s="542" t="s">
        <v>2</v>
      </c>
      <c r="C13" s="542"/>
      <c r="D13" s="5" t="str">
        <f>'12.lan'!D15</f>
        <v>Geben Sie - aufbauend auf diesen Beschreibungen - an, entsprechend welchem Skalenwert (0-10) Ihrer Meinung nach der jeweilige Aspekt erfüllt ist (Spalte "Erfüllungsgrad"). Anhaltspunkte zur Wahl des "richtigen" Skalenwerts finden Sie wiederum im Arbeitsbuch.</v>
      </c>
    </row>
    <row r="14" spans="1:13" ht="33" customHeight="1">
      <c r="A14" s="2"/>
      <c r="B14" s="542" t="s">
        <v>3</v>
      </c>
      <c r="C14" s="542"/>
      <c r="D14" s="5" t="str">
        <f>'12.lan'!D16</f>
        <v xml:space="preserve">Für die Bewertung der Negativaspekte geben Sie Punktewerte entsprechend der Beschreibungen im Arbeitsbuch an. </v>
      </c>
    </row>
    <row r="15" spans="1:13" ht="100.5" customHeight="1">
      <c r="A15" s="2"/>
      <c r="B15" s="542" t="s">
        <v>4</v>
      </c>
      <c r="C15" s="542"/>
      <c r="D15" s="6" t="str">
        <f>'12.lan'!D17</f>
        <v>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row>
    <row r="16" spans="1:13" ht="48" customHeight="1">
      <c r="A16" s="2"/>
      <c r="B16" s="542" t="s">
        <v>5</v>
      </c>
      <c r="C16" s="542"/>
      <c r="D16" s="5" t="str">
        <f>'12.lan'!D18</f>
        <v>Bei der Berechnung werden die Gesamtwerte pro Thema automatisch entsprechend der Angaben im Faktenblatt gewichtet und auf ganzzahlige Vielfache von 10% gerundet.</v>
      </c>
    </row>
    <row r="17" spans="1:4" ht="18.75" customHeight="1">
      <c r="A17" s="2"/>
      <c r="B17" s="541" t="str">
        <f>'12.lan'!D30</f>
        <v>4. GW-Matrix</v>
      </c>
      <c r="C17" s="541"/>
      <c r="D17" s="5" t="str">
        <f>'12.lan'!D19</f>
        <v>Die "GW-Matrix" bietet einen tabellarischen Überblick über Ihr Ergebnis.</v>
      </c>
    </row>
    <row r="18" spans="1:4" ht="32.25" customHeight="1">
      <c r="A18" s="2"/>
      <c r="B18" s="541" t="str">
        <f>'12.lan'!D31</f>
        <v>5. Werte-Stern</v>
      </c>
      <c r="C18" s="541"/>
      <c r="D18" s="5" t="str">
        <f>'12.lan'!D21</f>
        <v>Der "Werte-Stern" zeigt schließlich Ihr Ergebnis nach Werten gegliedert in graphischer Form.</v>
      </c>
    </row>
    <row r="19" spans="1:4" ht="32.25" customHeight="1">
      <c r="A19" s="2"/>
      <c r="B19" s="541" t="str">
        <f>'12.lan'!D32</f>
        <v>6. Gruppen-Stern</v>
      </c>
      <c r="C19" s="541"/>
      <c r="D19" s="5" t="str">
        <f>'12.lan'!D22</f>
        <v>Der "Gruppen-Stern" zeigt schließlich Ihr Ergebnis nach Berührungsgruppen gegliedert in graphischer Form.</v>
      </c>
    </row>
    <row r="20" spans="1:4" ht="28.5" customHeight="1">
      <c r="A20" s="2"/>
      <c r="B20" s="541" t="str">
        <f>'12.lan'!D33</f>
        <v>7. Themen-Stern</v>
      </c>
      <c r="C20" s="541"/>
      <c r="D20" s="6" t="str">
        <f>'12.lan'!D23</f>
        <v>Der "Themen-Stern" zeigt schließlich Ihr Ergebnis in allen Themen in graphischer Form.</v>
      </c>
    </row>
    <row r="21" spans="1:4" ht="30" customHeight="1">
      <c r="A21" s="2"/>
      <c r="B21" s="543" t="str">
        <f>'12.lan'!D34</f>
        <v>8. Beschreibung Gewichtungsmodell</v>
      </c>
      <c r="C21" s="543"/>
      <c r="D21" s="6" t="str">
        <f>'12.lan'!D24</f>
        <v xml:space="preserve">Hier finden Sie eine Beschreibung der Gewichtungsmodelles. </v>
      </c>
    </row>
    <row r="22" spans="1:4" ht="41.25" customHeight="1">
      <c r="A22" s="2"/>
      <c r="B22" s="541" t="str">
        <f>'12.lan'!D35</f>
        <v>9. Gewichtung (ausgeblendet)</v>
      </c>
      <c r="C22" s="541"/>
      <c r="D22" s="6" t="str">
        <f>'12.lan'!D25</f>
        <v>Hier erfolgt die Berechnung wie die einzelnen Berührungsgruppen und Themen gewichtet werden.</v>
      </c>
    </row>
    <row r="23" spans="1:4" ht="43.5" customHeight="1">
      <c r="A23" s="2"/>
      <c r="B23" s="541" t="str">
        <f>'12.lan'!D36</f>
        <v>10. Branchen (ausgeblendet)</v>
      </c>
      <c r="C23" s="541"/>
      <c r="D23" s="6" t="str">
        <f>'12.lan'!D26</f>
        <v xml:space="preserve">Enthält Einschätzungen der Relevanz von Zulieferkette und ökologische Nachhaltigkeit für alle Branchen,, die für die Gewichtung herangezogen werden. </v>
      </c>
    </row>
    <row r="24" spans="1:4" ht="35.25" customHeight="1">
      <c r="A24" s="2"/>
      <c r="B24" s="543" t="str">
        <f>'12.lan'!D37</f>
        <v>11. Länder und Regionen (ausgeblendet)</v>
      </c>
      <c r="C24" s="543"/>
      <c r="D24" s="6" t="str">
        <f>'12.lan'!D27</f>
        <v xml:space="preserve">Enthält Statistiken für Länder und Regionen, die für die Gewichtung herangezogen werden. </v>
      </c>
    </row>
    <row r="25" spans="1:4" ht="15" customHeight="1">
      <c r="A25" s="2"/>
      <c r="B25" s="7"/>
      <c r="C25" s="7"/>
      <c r="D25" s="8"/>
    </row>
    <row r="26" spans="1:4" ht="12.75" customHeight="1">
      <c r="A26" s="2"/>
      <c r="B26" s="538" t="str">
        <f>'12.lan'!D40</f>
        <v>LEGENDE</v>
      </c>
      <c r="C26" s="538"/>
      <c r="D26" s="538"/>
    </row>
    <row r="27" spans="1:4" ht="19.5" customHeight="1">
      <c r="A27" s="2"/>
      <c r="B27" s="544" t="str">
        <f>'12.lan'!D41</f>
        <v>Feld ist beschreibbar (grüner Rahmen, dunkelgrüne Schrift)</v>
      </c>
      <c r="C27" s="544"/>
      <c r="D27" s="544"/>
    </row>
    <row r="28" spans="1:4" ht="1.5" customHeight="1">
      <c r="A28" s="2"/>
      <c r="B28" s="9"/>
      <c r="C28" s="9"/>
      <c r="D28" s="10"/>
    </row>
    <row r="29" spans="1:4" ht="19.5" customHeight="1">
      <c r="A29" s="2"/>
      <c r="B29" s="545" t="str">
        <f>'12.lan'!D42</f>
        <v>Feld ist nicht beschreibbar (grauer Rahmen, dunkelgraue Schrift)</v>
      </c>
      <c r="C29" s="545"/>
      <c r="D29" s="545"/>
    </row>
    <row r="30" spans="1:4" ht="1.5" customHeight="1">
      <c r="A30" s="2"/>
      <c r="B30" s="9"/>
      <c r="C30" s="9"/>
      <c r="D30" s="10"/>
    </row>
    <row r="31" spans="1:4" ht="19.5" customHeight="1">
      <c r="A31" s="2"/>
      <c r="B31" s="546" t="str">
        <f>'12.lan'!D43</f>
        <v>unerlaubter Wert eingegeben (zur korrekten Berechnung Wert ändern)</v>
      </c>
      <c r="C31" s="546"/>
      <c r="D31" s="546"/>
    </row>
    <row r="32" spans="1:4" ht="12.75" customHeight="1">
      <c r="A32" s="2"/>
      <c r="B32" s="2"/>
      <c r="C32" s="2"/>
      <c r="D32" s="2"/>
    </row>
    <row r="33" spans="1:4" ht="12.75" customHeight="1">
      <c r="A33" s="2"/>
      <c r="B33" s="538" t="str">
        <f>'12.lan'!D54</f>
        <v>KONTAKT</v>
      </c>
      <c r="C33" s="538"/>
      <c r="D33" s="538"/>
    </row>
    <row r="34" spans="1:4" ht="12.75" customHeight="1">
      <c r="A34" s="2"/>
      <c r="B34" s="548" t="str">
        <f>'12.lan'!D55</f>
        <v>Fragen zur Bilanz-Erstellung: beratung@gemeinwohl-oekonomie.org (GWÖ-BeraterInnen);</v>
      </c>
      <c r="C34" s="548"/>
      <c r="D34" s="548"/>
    </row>
    <row r="35" spans="1:4" ht="12.75" customHeight="1">
      <c r="A35" s="2"/>
      <c r="B35" s="548" t="str">
        <f>'12.lan'!D56</f>
        <v>Fragen zur Auditierung: audit@gemeinwohl-oekonomie.org (GWÖ-AuditorInnen);</v>
      </c>
      <c r="C35" s="548"/>
      <c r="D35" s="548"/>
    </row>
    <row r="36" spans="1:4" ht="12.75" customHeight="1">
      <c r="A36" s="2"/>
      <c r="B36" s="549" t="str">
        <f>'12.lan'!D57</f>
        <v>Weiterentwicklung der Matrix: bilanz@ecogood.org (GWÖ-Matrix Entwicklungsteam);</v>
      </c>
      <c r="C36" s="549"/>
      <c r="D36" s="549"/>
    </row>
    <row r="37" spans="1:4" ht="51" customHeight="1">
      <c r="A37" s="2"/>
      <c r="B37" s="550" t="str">
        <f>'12.lan'!D58</f>
        <v>Excel-Programmierung: Christian Loy (christian.loy@gmx.at); Christian Kozina; Multilanguage-tool: Bernhard Oberrauch</v>
      </c>
      <c r="C37" s="550"/>
      <c r="D37" s="550"/>
    </row>
    <row r="38" spans="1:4" ht="30" customHeight="1">
      <c r="A38" s="2"/>
      <c r="B38" s="551" t="str">
        <f>'12.lan'!D59</f>
        <v>Inhalte: GWÖ-Matrix Entwicklungsteam</v>
      </c>
      <c r="C38" s="551"/>
      <c r="D38" s="551"/>
    </row>
    <row r="39" spans="1:4" ht="12.75" customHeight="1">
      <c r="A39" s="2"/>
      <c r="B39" s="2"/>
      <c r="C39" s="2"/>
      <c r="D39" s="2"/>
    </row>
    <row r="40" spans="1:4" ht="12.75" customHeight="1">
      <c r="A40" s="2"/>
      <c r="B40" s="538" t="str">
        <f>'12.lan'!D60</f>
        <v>ANMERKUNGEN</v>
      </c>
      <c r="C40" s="538"/>
      <c r="D40" s="538"/>
    </row>
    <row r="41" spans="1:4" ht="28.5" customHeight="1">
      <c r="B41" s="547" t="str">
        <f>'12.lan'!D61</f>
        <v>Alle Tabellen sind optimiert für den Ausdruck auf A4 (Hoch- oder Querformat).
Die Höhe der Zeilen ist veränderbar, falls Sie mehr Text eingeben wollen.</v>
      </c>
      <c r="C41" s="547"/>
      <c r="D41" s="547"/>
    </row>
  </sheetData>
  <sheetProtection algorithmName="SHA-512" hashValue="j7OFm/cIxZhgmecB0gV9zh2qsb5dcmkGenM8yQv4waEDKYMWEAba/Hb19zKbxo8KWeQX+6cqfh5bKyoJ3s3xag==" saltValue="ODYkN76PiDm8DkxMrom09g==" spinCount="100000" sheet="1"/>
  <mergeCells count="33">
    <mergeCell ref="B40:D40"/>
    <mergeCell ref="B41:D41"/>
    <mergeCell ref="B33:D33"/>
    <mergeCell ref="B34:D34"/>
    <mergeCell ref="B35:D35"/>
    <mergeCell ref="B36:D36"/>
    <mergeCell ref="B37:D37"/>
    <mergeCell ref="B38:D38"/>
    <mergeCell ref="B24:C24"/>
    <mergeCell ref="B26:D26"/>
    <mergeCell ref="B27:D27"/>
    <mergeCell ref="B29:D29"/>
    <mergeCell ref="B31:D31"/>
    <mergeCell ref="B19:C19"/>
    <mergeCell ref="B20:C20"/>
    <mergeCell ref="B21:C21"/>
    <mergeCell ref="B22:C22"/>
    <mergeCell ref="B23:C23"/>
    <mergeCell ref="B14:C14"/>
    <mergeCell ref="B15:C15"/>
    <mergeCell ref="B16:C16"/>
    <mergeCell ref="B17:C17"/>
    <mergeCell ref="B18:C18"/>
    <mergeCell ref="B9:C9"/>
    <mergeCell ref="B10:C10"/>
    <mergeCell ref="B11:C11"/>
    <mergeCell ref="B12:C12"/>
    <mergeCell ref="B13:C13"/>
    <mergeCell ref="B1:C1"/>
    <mergeCell ref="B2:D2"/>
    <mergeCell ref="B5:D5"/>
    <mergeCell ref="B6:D6"/>
    <mergeCell ref="B8:D8"/>
  </mergeCells>
  <dataValidations count="1">
    <dataValidation type="list" allowBlank="1" showInputMessage="1" showErrorMessage="1" sqref="B1:C1" xr:uid="{00000000-0002-0000-0000-000000000000}">
      <formula1>$M$2:$M$12</formula1>
    </dataValidation>
  </dataValidations>
  <pageMargins left="0.52013888888888893" right="0.59027777777777779" top="0.78749999999999998" bottom="0.78749999999999998" header="0.51180555555555551" footer="0.51180555555555551"/>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F26"/>
  <sheetViews>
    <sheetView zoomScale="75" zoomScaleNormal="75" workbookViewId="0">
      <pane ySplit="2" topLeftCell="A3" activePane="bottomLeft" state="frozen"/>
      <selection pane="bottomLeft" activeCell="C6" sqref="C6"/>
    </sheetView>
  </sheetViews>
  <sheetFormatPr baseColWidth="10" defaultColWidth="10.28515625" defaultRowHeight="12.75" customHeight="1"/>
  <cols>
    <col min="1" max="1" width="32.28515625" style="285" customWidth="1"/>
    <col min="2" max="2" width="2.28515625" style="285" customWidth="1"/>
    <col min="3" max="3" width="94.28515625" style="286" customWidth="1"/>
    <col min="4" max="4" width="4.7109375" style="286" customWidth="1"/>
    <col min="5" max="16384" width="10.28515625" style="286"/>
  </cols>
  <sheetData>
    <row r="1" spans="1:6" ht="33" customHeight="1">
      <c r="A1" s="287" t="str">
        <f>'12.lan'!D91&amp;" - "&amp;'0. Intro'!B3&amp;" "&amp;'0. Intro'!C3</f>
        <v>Gemeinwohl-Bilanz-Rechner - Version 5.02</v>
      </c>
      <c r="B1" s="288"/>
      <c r="C1" s="288"/>
      <c r="D1" s="288"/>
      <c r="E1" s="288"/>
      <c r="F1" s="288"/>
    </row>
    <row r="2" spans="1:6" ht="31.5" customHeight="1">
      <c r="A2" s="553" t="str">
        <f>'12.lan'!D204</f>
        <v>Beschreibung des Gewichtungsmodelles</v>
      </c>
      <c r="B2" s="553"/>
      <c r="C2" s="553"/>
      <c r="D2" s="289"/>
      <c r="E2" s="289"/>
    </row>
    <row r="3" spans="1:6" ht="12" customHeight="1">
      <c r="A3" s="289"/>
      <c r="B3" s="289"/>
      <c r="C3" s="289"/>
      <c r="D3" s="289"/>
      <c r="E3" s="289"/>
    </row>
    <row r="4" spans="1:6" ht="108" customHeight="1">
      <c r="A4" s="290" t="str">
        <f>'12.lan'!D208</f>
        <v>Allgemein</v>
      </c>
      <c r="B4" s="290"/>
      <c r="C4" s="291" t="str">
        <f>'12.lan'!D244</f>
        <v>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c r="D4" s="289"/>
      <c r="E4" s="289"/>
    </row>
    <row r="5" spans="1:6" ht="78.75" customHeight="1">
      <c r="A5" s="290" t="str">
        <f>'12.lan'!D207</f>
        <v>Berührungsgruppen &amp; Werte</v>
      </c>
      <c r="B5" s="290"/>
      <c r="C5" s="291" t="str">
        <f>'12.lan'!D245</f>
        <v xml:space="preserve">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row>
    <row r="6" spans="1:6" ht="45.75" customHeight="1">
      <c r="A6" s="292" t="str">
        <f>'12.lan'!D205</f>
        <v>Themen</v>
      </c>
      <c r="B6" s="292"/>
      <c r="C6" s="293" t="str">
        <f>'12.lan'!D246</f>
        <v>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row>
    <row r="7" spans="1:6" ht="18.75" customHeight="1">
      <c r="A7" s="294" t="s">
        <v>14</v>
      </c>
      <c r="B7" s="294"/>
      <c r="C7" s="293" t="s">
        <v>154</v>
      </c>
    </row>
    <row r="8" spans="1:6" ht="18.75" customHeight="1">
      <c r="A8" s="295" t="s">
        <v>17</v>
      </c>
      <c r="B8" s="295"/>
      <c r="C8" s="293" t="str">
        <f>'12.lan'!D248</f>
        <v>-</v>
      </c>
    </row>
    <row r="9" spans="1:6" ht="26.25" customHeight="1">
      <c r="A9" s="296" t="s">
        <v>21</v>
      </c>
      <c r="B9" s="296"/>
      <c r="C9" s="293" t="str">
        <f>'12.lan'!D249</f>
        <v>Die Gewichtung dieses Thema’s ist abhängig vom ökologischen Effekt der Branche des Lieferanten (siehe Tabellenblatt “Industry”)</v>
      </c>
    </row>
    <row r="10" spans="1:6" ht="24.75" customHeight="1">
      <c r="A10" s="296" t="s">
        <v>24</v>
      </c>
      <c r="B10" s="296"/>
      <c r="C10" s="293" t="str">
        <f>'12.lan'!D250</f>
        <v>Die Gewichtung dieses Thema’s ist abhängig von den Mitbestimmungsrechte in den Ländern der wichtigsten Zulieferbranchen (basierend auf dem ITUC-Index der International Trade Union Confederation)</v>
      </c>
    </row>
    <row r="11" spans="1:6" ht="20.25" customHeight="1">
      <c r="A11" s="296" t="s">
        <v>28</v>
      </c>
      <c r="B11" s="296"/>
      <c r="C11" s="293" t="str">
        <f>'12.lan'!D251</f>
        <v>Die Gewichtung dieses Thema’s ist abhängig von der Relation Umsatz zu Bilanzsumme</v>
      </c>
    </row>
    <row r="12" spans="1:6" ht="20.25" customHeight="1">
      <c r="A12" s="296" t="s">
        <v>32</v>
      </c>
      <c r="B12" s="296"/>
      <c r="C12" s="293" t="str">
        <f>'12.lan'!D252</f>
        <v xml:space="preserve">Die Gewichtung dieses Thema’s ist abhängig von der Relation Gewinn zu Umsatz </v>
      </c>
    </row>
    <row r="13" spans="1:6" ht="20.25" customHeight="1">
      <c r="A13" s="296" t="s">
        <v>35</v>
      </c>
      <c r="B13" s="296"/>
      <c r="C13" s="293" t="str">
        <f>'12.lan'!D253</f>
        <v>Die Gewichtung dieses Thema’s ist abhängig  Zugängen zum Anlagevermögen und Finanzvermögen in Relation zu der Bilanzsumme</v>
      </c>
    </row>
    <row r="14" spans="1:6" ht="20.25" customHeight="1">
      <c r="A14" s="296" t="s">
        <v>39</v>
      </c>
      <c r="B14" s="296"/>
      <c r="C14" s="293" t="str">
        <f>'12.lan'!D254</f>
        <v>Die Gewichtung dieses Thema’s ist abhängig von der Größe des Unternehmens</v>
      </c>
    </row>
    <row r="15" spans="1:6" ht="20.25" customHeight="1">
      <c r="A15" s="296" t="s">
        <v>43</v>
      </c>
      <c r="B15" s="296"/>
      <c r="C15" s="293" t="str">
        <f>'12.lan'!D255</f>
        <v>-</v>
      </c>
    </row>
    <row r="16" spans="1:6" ht="20.25" customHeight="1">
      <c r="A16" s="296" t="s">
        <v>48</v>
      </c>
      <c r="B16" s="296"/>
      <c r="C16" s="293" t="str">
        <f>'12.lan'!D256</f>
        <v>-</v>
      </c>
    </row>
    <row r="17" spans="1:3" ht="26.25" customHeight="1">
      <c r="A17" s="296" t="s">
        <v>53</v>
      </c>
      <c r="B17" s="296"/>
      <c r="C17" s="293" t="str">
        <f>'12.lan'!D257</f>
        <v>Die Gewichtung dieses Thema’s ist abhängig von der Existenz einer Kantine für die Mehrheit der Mitarbeiter*innen sowie dem (geschätzten) durchschnittlichen Anfahrtsweg zur Arbeit.</v>
      </c>
    </row>
    <row r="18" spans="1:3" ht="24.75" customHeight="1">
      <c r="A18" s="296" t="s">
        <v>58</v>
      </c>
      <c r="B18" s="296"/>
      <c r="C18" s="293" t="str">
        <f>'12.lan'!D258</f>
        <v>Die Gewichtung dieses Thema’s ist abhängig von der Größe des Unternehmens sowie von den Mitbestimmungsrechte in den Ländern der wichtigsten Standorte (basierend auf dem ITUC-Index der International Labour Union)</v>
      </c>
    </row>
    <row r="19" spans="1:3" ht="16.5" customHeight="1">
      <c r="A19" s="296" t="s">
        <v>64</v>
      </c>
      <c r="B19" s="296"/>
      <c r="C19" s="293" t="str">
        <f>'12.lan'!D259</f>
        <v>-</v>
      </c>
    </row>
    <row r="20" spans="1:3" ht="16.5" customHeight="1">
      <c r="A20" s="296" t="s">
        <v>68</v>
      </c>
      <c r="B20" s="296"/>
      <c r="C20" s="293" t="str">
        <f>'12.lan'!D260</f>
        <v>-</v>
      </c>
    </row>
    <row r="21" spans="1:3" ht="16.5" customHeight="1">
      <c r="A21" s="296" t="s">
        <v>72</v>
      </c>
      <c r="B21" s="296"/>
      <c r="C21" s="293" t="str">
        <f>'12.lan'!D261</f>
        <v xml:space="preserve">Die Gewichtung dieses Thema’s ist abhängig von der Branche </v>
      </c>
    </row>
    <row r="22" spans="1:3" ht="16.5" customHeight="1">
      <c r="A22" s="296" t="s">
        <v>76</v>
      </c>
      <c r="B22" s="296"/>
      <c r="C22" s="293" t="str">
        <f>'12.lan'!D262</f>
        <v>Die Gewichtung dieses Thema’s ist abhängig davon, ob Kund*innen in erster Linie Private oder Unternehmen sind</v>
      </c>
    </row>
    <row r="23" spans="1:3" ht="16.5" customHeight="1">
      <c r="A23" s="296" t="s">
        <v>80</v>
      </c>
      <c r="B23" s="296"/>
      <c r="C23" s="293" t="str">
        <f>'12.lan'!D263</f>
        <v>-</v>
      </c>
    </row>
    <row r="24" spans="1:3" ht="16.5" customHeight="1">
      <c r="A24" s="296" t="s">
        <v>84</v>
      </c>
      <c r="B24" s="296"/>
      <c r="C24" s="293" t="str">
        <f>'12.lan'!D264</f>
        <v>Die Gewichtung dieses Thema’s ist abhängig von der Umsatzrentabilität (Gewinn/Umsatz)</v>
      </c>
    </row>
    <row r="25" spans="1:3" ht="16.5" customHeight="1">
      <c r="A25" s="296" t="s">
        <v>89</v>
      </c>
      <c r="B25" s="296"/>
      <c r="C25" s="293" t="str">
        <f>'12.lan'!D265</f>
        <v>Die Gewichtung dieses Thenma’s ist abhängig von der Branche</v>
      </c>
    </row>
    <row r="26" spans="1:3" ht="16.5" customHeight="1">
      <c r="A26" s="297" t="s">
        <v>93</v>
      </c>
      <c r="B26" s="297"/>
      <c r="C26" s="293" t="str">
        <f>'12.lan'!D266</f>
        <v>Die Gewichtung dieses Thema’s ist abhängig von der Größe sowie der Branche des Unternehmens.</v>
      </c>
    </row>
  </sheetData>
  <sheetProtection algorithmName="SHA-512" hashValue="qTYVxoLzqPtZXSh22LaX0GX2Q2BSeI+JxLpdgWk9Zi2OTmHzUxyVNn49KbDC8N7xHa+uVrio007AUi1V/6MyEQ==" saltValue="fDGZWiVlMd4X3t68drNfXw==" spinCount="100000" sheet="1" selectLockedCells="1" selectUnlockedCells="1"/>
  <mergeCells count="1">
    <mergeCell ref="A2:C2"/>
  </mergeCells>
  <pageMargins left="0.7" right="0.7" top="0.78749999999999998" bottom="0.78749999999999998" header="0.51180555555555551" footer="0.51180555555555551"/>
  <pageSetup paperSize="9" firstPageNumber="0"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S39"/>
  <sheetViews>
    <sheetView zoomScale="75" zoomScaleNormal="75" workbookViewId="0">
      <pane xSplit="2" ySplit="3" topLeftCell="C4" activePane="bottomRight" state="frozen"/>
      <selection pane="topRight" activeCell="C1" sqref="C1"/>
      <selection pane="bottomLeft" activeCell="A4" sqref="A4"/>
      <selection pane="bottomRight" activeCell="M41" sqref="M41"/>
    </sheetView>
  </sheetViews>
  <sheetFormatPr baseColWidth="10" defaultColWidth="10.28515625" defaultRowHeight="9.75" customHeight="1"/>
  <cols>
    <col min="1" max="1" width="6.28515625" style="298" customWidth="1"/>
    <col min="2" max="2" width="43.28515625" style="298" customWidth="1"/>
    <col min="3" max="3" width="5" style="299" customWidth="1"/>
    <col min="4" max="4" width="1.28515625" style="298" customWidth="1"/>
    <col min="5" max="5" width="7.85546875" style="298" customWidth="1"/>
    <col min="6" max="6" width="12.28515625" style="298" customWidth="1"/>
    <col min="7" max="7" width="9.28515625" style="298" hidden="1" customWidth="1"/>
    <col min="8" max="8" width="20.85546875" style="298" hidden="1" customWidth="1"/>
    <col min="9" max="9" width="7.85546875" style="299" customWidth="1"/>
    <col min="10" max="10" width="14.85546875" style="298" customWidth="1"/>
    <col min="11" max="11" width="7.85546875" style="299" customWidth="1"/>
    <col min="12" max="12" width="14.28515625" style="298" customWidth="1"/>
    <col min="13" max="13" width="7.85546875" style="298" customWidth="1"/>
    <col min="14" max="14" width="9.85546875" style="298" customWidth="1"/>
    <col min="15" max="15" width="2.28515625" style="298" customWidth="1"/>
    <col min="16" max="16" width="7.85546875" style="298" customWidth="1"/>
    <col min="17" max="17" width="16.28515625" style="298" customWidth="1"/>
    <col min="18" max="16384" width="10.28515625" style="298"/>
  </cols>
  <sheetData>
    <row r="1" spans="1:19" ht="29.25" customHeight="1">
      <c r="A1" s="628" t="s">
        <v>155</v>
      </c>
      <c r="B1" s="628"/>
      <c r="C1" s="628"/>
      <c r="D1" s="628"/>
      <c r="E1" s="628"/>
      <c r="F1" s="628"/>
      <c r="G1" s="628"/>
      <c r="H1" s="628"/>
      <c r="I1" s="628"/>
      <c r="J1" s="628"/>
      <c r="K1" s="628"/>
      <c r="L1" s="628"/>
      <c r="M1" s="628"/>
      <c r="N1" s="628"/>
      <c r="O1" s="628"/>
      <c r="P1" s="628"/>
      <c r="Q1" s="628"/>
    </row>
    <row r="2" spans="1:19" ht="22.5" customHeight="1">
      <c r="A2" s="300"/>
      <c r="B2" s="301" t="s">
        <v>156</v>
      </c>
      <c r="C2" s="629"/>
      <c r="D2" s="629"/>
      <c r="E2" s="630" t="s">
        <v>157</v>
      </c>
      <c r="F2" s="630"/>
      <c r="G2" s="631" t="s">
        <v>158</v>
      </c>
      <c r="H2" s="631"/>
      <c r="I2" s="632" t="s">
        <v>159</v>
      </c>
      <c r="J2" s="632"/>
      <c r="K2" s="629" t="s">
        <v>160</v>
      </c>
      <c r="L2" s="629"/>
      <c r="M2" s="633" t="s">
        <v>161</v>
      </c>
      <c r="N2" s="633"/>
      <c r="O2" s="634" t="s">
        <v>162</v>
      </c>
      <c r="P2" s="634"/>
      <c r="Q2" s="634"/>
      <c r="R2" s="627"/>
      <c r="S2" s="627"/>
    </row>
    <row r="3" spans="1:19" ht="111" customHeight="1">
      <c r="A3" s="302"/>
      <c r="B3" s="303" t="s">
        <v>163</v>
      </c>
      <c r="C3" s="304"/>
      <c r="D3" s="305"/>
      <c r="E3" s="306" t="s">
        <v>164</v>
      </c>
      <c r="F3" s="305" t="s">
        <v>165</v>
      </c>
      <c r="G3" s="307" t="s">
        <v>164</v>
      </c>
      <c r="H3" s="307" t="s">
        <v>166</v>
      </c>
      <c r="I3" s="308" t="s">
        <v>164</v>
      </c>
      <c r="J3" s="309" t="s">
        <v>167</v>
      </c>
      <c r="K3" s="304" t="s">
        <v>164</v>
      </c>
      <c r="L3" s="305" t="s">
        <v>168</v>
      </c>
      <c r="M3" s="310" t="s">
        <v>164</v>
      </c>
      <c r="N3" s="309" t="s">
        <v>169</v>
      </c>
      <c r="O3" s="311"/>
      <c r="P3" s="312" t="s">
        <v>164</v>
      </c>
      <c r="Q3" s="313" t="s">
        <v>170</v>
      </c>
    </row>
    <row r="4" spans="1:19" ht="71.099999999999994" customHeight="1">
      <c r="A4" s="314" t="s">
        <v>171</v>
      </c>
      <c r="B4" s="315" t="str">
        <f>'12.lan'!D268</f>
        <v>A - Landwirtschaft, Forstwirtschaft und Fischerei</v>
      </c>
      <c r="C4" s="316"/>
      <c r="D4" s="317"/>
      <c r="E4" s="318" t="s">
        <v>152</v>
      </c>
      <c r="F4" s="317"/>
      <c r="G4" s="319"/>
      <c r="H4" s="319" t="s">
        <v>172</v>
      </c>
      <c r="I4" s="534" t="s">
        <v>150</v>
      </c>
      <c r="J4" s="320" t="s">
        <v>173</v>
      </c>
      <c r="K4" s="316" t="s">
        <v>152</v>
      </c>
      <c r="L4" s="317" t="s">
        <v>174</v>
      </c>
      <c r="M4" s="321" t="s">
        <v>150</v>
      </c>
      <c r="N4" s="322"/>
      <c r="O4" s="311"/>
      <c r="P4" s="323" t="s">
        <v>152</v>
      </c>
      <c r="Q4" s="313"/>
    </row>
    <row r="5" spans="1:19" ht="21" customHeight="1">
      <c r="A5" s="324" t="s">
        <v>175</v>
      </c>
      <c r="B5" s="315" t="str">
        <f>'12.lan'!D269</f>
        <v>B - Bergbau und Gewinnung von Steinen und Erden</v>
      </c>
      <c r="C5" s="325"/>
      <c r="D5" s="326"/>
      <c r="E5" s="327" t="s">
        <v>152</v>
      </c>
      <c r="F5" s="326"/>
      <c r="G5" s="328"/>
      <c r="H5" s="328"/>
      <c r="I5" s="329" t="s">
        <v>150</v>
      </c>
      <c r="J5" s="330"/>
      <c r="K5" s="325" t="s">
        <v>152</v>
      </c>
      <c r="L5" s="326" t="s">
        <v>176</v>
      </c>
      <c r="M5" s="331" t="s">
        <v>152</v>
      </c>
      <c r="N5" s="330"/>
      <c r="O5" s="311"/>
      <c r="P5" s="323" t="s">
        <v>152</v>
      </c>
      <c r="Q5" s="313"/>
    </row>
    <row r="6" spans="1:19" ht="20.100000000000001" customHeight="1">
      <c r="A6" s="324" t="s">
        <v>177</v>
      </c>
      <c r="B6" s="315" t="str">
        <f>'12.lan'!D270</f>
        <v>C - Verarbeitendes Gewerbe (nicht weiter spezifiziert)</v>
      </c>
      <c r="C6" s="325"/>
      <c r="D6" s="332"/>
      <c r="E6" s="333" t="s">
        <v>151</v>
      </c>
      <c r="F6" s="332"/>
      <c r="G6" s="334"/>
      <c r="H6" s="334"/>
      <c r="I6" s="329" t="s">
        <v>150</v>
      </c>
      <c r="J6" s="330"/>
      <c r="K6" s="325" t="s">
        <v>151</v>
      </c>
      <c r="L6" s="332" t="s">
        <v>178</v>
      </c>
      <c r="M6" s="331" t="s">
        <v>151</v>
      </c>
      <c r="N6" s="330"/>
      <c r="O6" s="311"/>
      <c r="P6" s="323" t="s">
        <v>151</v>
      </c>
      <c r="Q6" s="313"/>
    </row>
    <row r="7" spans="1:19" ht="9.75" customHeight="1">
      <c r="A7" s="324" t="s">
        <v>179</v>
      </c>
      <c r="B7" s="315" t="str">
        <f>'12.lan'!D271</f>
        <v>Ca - Produktion von Lebensmittel, Getränken und Tabak (C10,C11,C12)</v>
      </c>
      <c r="C7" s="325"/>
      <c r="D7" s="335"/>
      <c r="E7" s="336" t="s">
        <v>152</v>
      </c>
      <c r="F7" s="335"/>
      <c r="G7" s="337"/>
      <c r="H7" s="337"/>
      <c r="I7" s="329" t="s">
        <v>150</v>
      </c>
      <c r="J7" s="330"/>
      <c r="K7" s="325" t="s">
        <v>150</v>
      </c>
      <c r="L7" s="335"/>
      <c r="M7" s="331" t="s">
        <v>150</v>
      </c>
      <c r="N7" s="330"/>
      <c r="O7" s="311"/>
      <c r="P7" s="323" t="s">
        <v>152</v>
      </c>
      <c r="Q7" s="313"/>
    </row>
    <row r="8" spans="1:19" ht="9.75" customHeight="1">
      <c r="A8" s="324" t="s">
        <v>180</v>
      </c>
      <c r="B8" s="315" t="str">
        <f>'12.lan'!D272</f>
        <v>Cb - Produktion von Textilien, Kleidung, Leder und Produkten hieraus (C13,C14,C15)</v>
      </c>
      <c r="C8" s="325"/>
      <c r="D8" s="335"/>
      <c r="E8" s="336" t="s">
        <v>152</v>
      </c>
      <c r="F8" s="335"/>
      <c r="G8" s="337"/>
      <c r="H8" s="337"/>
      <c r="I8" s="329" t="s">
        <v>150</v>
      </c>
      <c r="J8" s="330"/>
      <c r="K8" s="325" t="s">
        <v>151</v>
      </c>
      <c r="L8" s="335"/>
      <c r="M8" s="331" t="s">
        <v>150</v>
      </c>
      <c r="N8" s="330"/>
      <c r="O8" s="311"/>
      <c r="P8" s="323" t="s">
        <v>152</v>
      </c>
      <c r="Q8" s="313"/>
    </row>
    <row r="9" spans="1:19" ht="9.75" customHeight="1">
      <c r="A9" s="324" t="s">
        <v>181</v>
      </c>
      <c r="B9" s="315" t="str">
        <f>'12.lan'!D273</f>
        <v>Cc - Produktion von Holz- und Papierprodukten sowie Drucksorten (C16,C17,C18)</v>
      </c>
      <c r="C9" s="325"/>
      <c r="D9" s="335"/>
      <c r="E9" s="336" t="s">
        <v>151</v>
      </c>
      <c r="F9" s="335"/>
      <c r="G9" s="337"/>
      <c r="H9" s="337"/>
      <c r="I9" s="329" t="s">
        <v>150</v>
      </c>
      <c r="J9" s="330"/>
      <c r="K9" s="325" t="s">
        <v>151</v>
      </c>
      <c r="L9" s="335"/>
      <c r="M9" s="331" t="s">
        <v>150</v>
      </c>
      <c r="N9" s="330"/>
      <c r="O9" s="311"/>
      <c r="P9" s="323" t="s">
        <v>152</v>
      </c>
      <c r="Q9" s="313"/>
    </row>
    <row r="10" spans="1:19" ht="9.75" customHeight="1">
      <c r="A10" s="324" t="s">
        <v>182</v>
      </c>
      <c r="B10" s="315" t="str">
        <f>'12.lan'!D274</f>
        <v>Cd - Produktion von petrochemischen Produkte und Kunststoffen (C19, C20;C22)</v>
      </c>
      <c r="C10" s="325"/>
      <c r="D10" s="335"/>
      <c r="E10" s="336" t="s">
        <v>152</v>
      </c>
      <c r="F10" s="335"/>
      <c r="G10" s="337"/>
      <c r="H10" s="337"/>
      <c r="I10" s="329" t="s">
        <v>150</v>
      </c>
      <c r="J10" s="330"/>
      <c r="K10" s="325" t="s">
        <v>151</v>
      </c>
      <c r="L10" s="335"/>
      <c r="M10" s="331" t="s">
        <v>151</v>
      </c>
      <c r="N10" s="330"/>
      <c r="O10" s="311"/>
      <c r="P10" s="323" t="s">
        <v>152</v>
      </c>
      <c r="Q10" s="313"/>
    </row>
    <row r="11" spans="1:19" ht="20.100000000000001" customHeight="1">
      <c r="A11" s="324" t="s">
        <v>183</v>
      </c>
      <c r="B11" s="315" t="str">
        <f>'12.lan'!D275</f>
        <v>Ce - Produktion von pharmazeutischen Produktion und Präparaten (C21)</v>
      </c>
      <c r="C11" s="325"/>
      <c r="D11" s="335"/>
      <c r="E11" s="336" t="s">
        <v>150</v>
      </c>
      <c r="F11" s="335"/>
      <c r="G11" s="337"/>
      <c r="H11" s="337"/>
      <c r="I11" s="329" t="s">
        <v>151</v>
      </c>
      <c r="J11" s="338" t="s">
        <v>184</v>
      </c>
      <c r="K11" s="325" t="s">
        <v>151</v>
      </c>
      <c r="L11" s="335"/>
      <c r="M11" s="331" t="s">
        <v>151</v>
      </c>
      <c r="N11" s="330"/>
      <c r="O11" s="311"/>
      <c r="P11" s="323" t="s">
        <v>151</v>
      </c>
      <c r="Q11" s="313"/>
    </row>
    <row r="12" spans="1:19" ht="9.75" customHeight="1">
      <c r="A12" s="324" t="s">
        <v>185</v>
      </c>
      <c r="B12" s="315" t="str">
        <f>'12.lan'!D276</f>
        <v>Cf - Produktion nicht metallischer Mineralstoffe (C23)</v>
      </c>
      <c r="C12" s="325"/>
      <c r="D12" s="335"/>
      <c r="E12" s="336" t="s">
        <v>151</v>
      </c>
      <c r="F12" s="335"/>
      <c r="G12" s="337"/>
      <c r="H12" s="337"/>
      <c r="I12" s="329" t="s">
        <v>150</v>
      </c>
      <c r="J12" s="338"/>
      <c r="K12" s="325" t="s">
        <v>151</v>
      </c>
      <c r="L12" s="335"/>
      <c r="M12" s="331" t="s">
        <v>151</v>
      </c>
      <c r="N12" s="330"/>
      <c r="O12" s="311"/>
      <c r="P12" s="323" t="s">
        <v>151</v>
      </c>
      <c r="Q12" s="313"/>
    </row>
    <row r="13" spans="1:19" ht="9.75" customHeight="1">
      <c r="A13" s="324" t="s">
        <v>186</v>
      </c>
      <c r="B13" s="315" t="str">
        <f>'12.lan'!D277</f>
        <v>Cg - Produktion von Metallen und metallischen Produkten (exkl. Maschinen und Geräten) (C24,C25)</v>
      </c>
      <c r="C13" s="325"/>
      <c r="D13" s="335"/>
      <c r="E13" s="336" t="s">
        <v>152</v>
      </c>
      <c r="F13" s="335"/>
      <c r="G13" s="337"/>
      <c r="H13" s="337"/>
      <c r="I13" s="329" t="s">
        <v>150</v>
      </c>
      <c r="J13" s="338"/>
      <c r="K13" s="325" t="s">
        <v>151</v>
      </c>
      <c r="L13" s="335"/>
      <c r="M13" s="331" t="s">
        <v>151</v>
      </c>
      <c r="N13" s="330"/>
      <c r="O13" s="311"/>
      <c r="P13" s="323" t="s">
        <v>152</v>
      </c>
      <c r="Q13" s="313"/>
    </row>
    <row r="14" spans="1:19" ht="9.75" customHeight="1">
      <c r="A14" s="324" t="s">
        <v>187</v>
      </c>
      <c r="B14" s="315" t="str">
        <f>'12.lan'!D278</f>
        <v>Ch - Produktion von elektronischen, optischen und sonstigen Geräten und Bauteilen sowie Computer (C26,C27,C28)</v>
      </c>
      <c r="C14" s="325"/>
      <c r="D14" s="335"/>
      <c r="E14" s="336" t="s">
        <v>152</v>
      </c>
      <c r="F14" s="335"/>
      <c r="G14" s="337"/>
      <c r="H14" s="337"/>
      <c r="I14" s="329" t="s">
        <v>151</v>
      </c>
      <c r="J14" s="338"/>
      <c r="K14" s="325" t="s">
        <v>151</v>
      </c>
      <c r="L14" s="335"/>
      <c r="M14" s="331" t="s">
        <v>151</v>
      </c>
      <c r="N14" s="330"/>
      <c r="O14" s="311"/>
      <c r="P14" s="323" t="s">
        <v>152</v>
      </c>
      <c r="Q14" s="313"/>
    </row>
    <row r="15" spans="1:19" ht="20.100000000000001" customHeight="1">
      <c r="A15" s="324" t="s">
        <v>188</v>
      </c>
      <c r="B15" s="315" t="str">
        <f>'12.lan'!D279</f>
        <v xml:space="preserve">D - Strom-, Gas-, Dampfversorgung und Kühlung </v>
      </c>
      <c r="C15" s="325"/>
      <c r="D15" s="339"/>
      <c r="E15" s="340" t="s">
        <v>150</v>
      </c>
      <c r="F15" s="341"/>
      <c r="G15" s="342"/>
      <c r="H15" s="342"/>
      <c r="I15" s="329" t="s">
        <v>150</v>
      </c>
      <c r="J15" s="330"/>
      <c r="K15" s="325" t="s">
        <v>152</v>
      </c>
      <c r="L15" s="339" t="s">
        <v>189</v>
      </c>
      <c r="M15" s="331" t="s">
        <v>151</v>
      </c>
      <c r="N15" s="330"/>
      <c r="O15" s="311"/>
      <c r="P15" s="323" t="s">
        <v>152</v>
      </c>
      <c r="Q15" s="313"/>
    </row>
    <row r="16" spans="1:19" ht="20.100000000000001" customHeight="1">
      <c r="A16" s="324" t="s">
        <v>190</v>
      </c>
      <c r="B16" s="315" t="str">
        <f>'12.lan'!D280</f>
        <v>E - Wasserversorgung, Abfallwirtschaft</v>
      </c>
      <c r="C16" s="325"/>
      <c r="D16" s="326"/>
      <c r="E16" s="327" t="s">
        <v>150</v>
      </c>
      <c r="F16" s="326"/>
      <c r="G16" s="328"/>
      <c r="H16" s="328"/>
      <c r="I16" s="329" t="s">
        <v>151</v>
      </c>
      <c r="J16" s="330"/>
      <c r="K16" s="325" t="s">
        <v>151</v>
      </c>
      <c r="L16" s="326"/>
      <c r="M16" s="331" t="s">
        <v>151</v>
      </c>
      <c r="N16" s="330"/>
      <c r="O16" s="311"/>
      <c r="P16" s="323" t="s">
        <v>150</v>
      </c>
      <c r="Q16" s="313"/>
    </row>
    <row r="17" spans="1:17" ht="39.75" customHeight="1">
      <c r="A17" s="324" t="s">
        <v>191</v>
      </c>
      <c r="B17" s="315" t="str">
        <f>'12.lan'!D281</f>
        <v>F - Baugewerbe</v>
      </c>
      <c r="C17" s="325"/>
      <c r="D17" s="326"/>
      <c r="E17" s="327" t="s">
        <v>152</v>
      </c>
      <c r="F17" s="326"/>
      <c r="G17" s="328"/>
      <c r="H17" s="328"/>
      <c r="I17" s="329" t="s">
        <v>152</v>
      </c>
      <c r="J17" s="330"/>
      <c r="K17" s="325" t="s">
        <v>152</v>
      </c>
      <c r="L17" s="326" t="s">
        <v>192</v>
      </c>
      <c r="M17" s="331" t="s">
        <v>152</v>
      </c>
      <c r="N17" s="330"/>
      <c r="O17" s="311"/>
      <c r="P17" s="323" t="s">
        <v>152</v>
      </c>
      <c r="Q17" s="313"/>
    </row>
    <row r="18" spans="1:17" ht="9.75" customHeight="1">
      <c r="A18" s="324" t="s">
        <v>193</v>
      </c>
      <c r="B18" s="315" t="str">
        <f>'12.lan'!D282</f>
        <v>G - Groß- und Einzelhandel sowie Werkstätten für Kraftfahrzeuge (Anmerkung: Groß- und Einzelhandel nicht auf KFZ beschränkt)</v>
      </c>
      <c r="C18" s="325"/>
      <c r="D18" s="326"/>
      <c r="E18" s="327" t="s">
        <v>150</v>
      </c>
      <c r="F18" s="326"/>
      <c r="G18" s="328"/>
      <c r="H18" s="328"/>
      <c r="I18" s="329" t="s">
        <v>152</v>
      </c>
      <c r="J18" s="330"/>
      <c r="K18" s="325" t="s">
        <v>150</v>
      </c>
      <c r="L18" s="326"/>
      <c r="M18" s="331" t="s">
        <v>150</v>
      </c>
      <c r="N18" s="330"/>
      <c r="O18" s="311"/>
      <c r="P18" s="323" t="s">
        <v>151</v>
      </c>
      <c r="Q18" s="313"/>
    </row>
    <row r="19" spans="1:17" ht="9.75" customHeight="1">
      <c r="A19" s="324" t="s">
        <v>194</v>
      </c>
      <c r="B19" s="315" t="str">
        <f>'12.lan'!D283</f>
        <v>H - Verkehr und Lagerhaltung</v>
      </c>
      <c r="C19" s="325"/>
      <c r="D19" s="326"/>
      <c r="E19" s="327" t="s">
        <v>150</v>
      </c>
      <c r="F19" s="326"/>
      <c r="G19" s="328"/>
      <c r="H19" s="328"/>
      <c r="I19" s="329" t="s">
        <v>150</v>
      </c>
      <c r="J19" s="330"/>
      <c r="K19" s="325" t="s">
        <v>152</v>
      </c>
      <c r="L19" s="326"/>
      <c r="M19" s="331" t="s">
        <v>150</v>
      </c>
      <c r="N19" s="330"/>
      <c r="O19" s="311"/>
      <c r="P19" s="323" t="s">
        <v>151</v>
      </c>
      <c r="Q19" s="313"/>
    </row>
    <row r="20" spans="1:17" ht="9.75" customHeight="1">
      <c r="A20" s="324" t="s">
        <v>195</v>
      </c>
      <c r="B20" s="315" t="str">
        <f>'12.lan'!D284</f>
        <v>I - Beherbergung und Gastronomie</v>
      </c>
      <c r="C20" s="325"/>
      <c r="D20" s="326"/>
      <c r="E20" s="327" t="s">
        <v>151</v>
      </c>
      <c r="F20" s="326"/>
      <c r="G20" s="328"/>
      <c r="H20" s="328"/>
      <c r="I20" s="329" t="s">
        <v>150</v>
      </c>
      <c r="J20" s="330"/>
      <c r="K20" s="325" t="s">
        <v>151</v>
      </c>
      <c r="L20" s="326"/>
      <c r="M20" s="331" t="s">
        <v>150</v>
      </c>
      <c r="N20" s="330"/>
      <c r="O20" s="311"/>
      <c r="P20" s="323" t="s">
        <v>151</v>
      </c>
      <c r="Q20" s="313"/>
    </row>
    <row r="21" spans="1:17" ht="9.75" customHeight="1">
      <c r="A21" s="324" t="s">
        <v>196</v>
      </c>
      <c r="B21" s="315" t="str">
        <f>'12.lan'!D285</f>
        <v>J - Information und Kommunikation</v>
      </c>
      <c r="C21" s="325"/>
      <c r="D21" s="326"/>
      <c r="E21" s="327" t="s">
        <v>150</v>
      </c>
      <c r="F21" s="326"/>
      <c r="G21" s="328"/>
      <c r="H21" s="328"/>
      <c r="I21" s="329" t="s">
        <v>150</v>
      </c>
      <c r="J21" s="330"/>
      <c r="K21" s="325" t="s">
        <v>151</v>
      </c>
      <c r="L21" s="326"/>
      <c r="M21" s="331" t="s">
        <v>150</v>
      </c>
      <c r="N21" s="330"/>
      <c r="O21" s="311"/>
      <c r="P21" s="323" t="s">
        <v>151</v>
      </c>
      <c r="Q21" s="313"/>
    </row>
    <row r="22" spans="1:17" ht="9.75" customHeight="1">
      <c r="A22" s="324" t="s">
        <v>197</v>
      </c>
      <c r="B22" s="315" t="str">
        <f>'12.lan'!D286</f>
        <v>K - Kredit- und Finanzwesen</v>
      </c>
      <c r="C22" s="325"/>
      <c r="D22" s="326"/>
      <c r="E22" s="327" t="s">
        <v>150</v>
      </c>
      <c r="F22" s="326"/>
      <c r="G22" s="328"/>
      <c r="H22" s="328"/>
      <c r="I22" s="329" t="s">
        <v>152</v>
      </c>
      <c r="J22" s="330"/>
      <c r="K22" s="325" t="s">
        <v>150</v>
      </c>
      <c r="L22" s="326"/>
      <c r="M22" s="331" t="s">
        <v>150</v>
      </c>
      <c r="N22" s="330"/>
      <c r="O22" s="311"/>
      <c r="P22" s="323" t="s">
        <v>150</v>
      </c>
      <c r="Q22" s="313"/>
    </row>
    <row r="23" spans="1:17" ht="9.75" customHeight="1">
      <c r="A23" s="324" t="s">
        <v>198</v>
      </c>
      <c r="B23" s="315" t="str">
        <f>'12.lan'!D287</f>
        <v>L - (Immobilienwirtschaft</v>
      </c>
      <c r="C23" s="325"/>
      <c r="D23" s="326"/>
      <c r="E23" s="327" t="s">
        <v>150</v>
      </c>
      <c r="F23" s="326"/>
      <c r="G23" s="328"/>
      <c r="H23" s="328"/>
      <c r="I23" s="329" t="s">
        <v>152</v>
      </c>
      <c r="J23" s="330"/>
      <c r="K23" s="325" t="s">
        <v>150</v>
      </c>
      <c r="L23" s="326"/>
      <c r="M23" s="331" t="s">
        <v>150</v>
      </c>
      <c r="N23" s="330"/>
      <c r="O23" s="311"/>
      <c r="P23" s="323" t="s">
        <v>151</v>
      </c>
      <c r="Q23" s="313"/>
    </row>
    <row r="24" spans="1:17" ht="9.75" customHeight="1">
      <c r="A24" s="324" t="s">
        <v>199</v>
      </c>
      <c r="B24" s="315" t="str">
        <f>'12.lan'!D288</f>
        <v>M - Freiberufliche, wissenschaftliche und technische Dienstleistungen</v>
      </c>
      <c r="C24" s="325"/>
      <c r="D24" s="326"/>
      <c r="E24" s="327" t="s">
        <v>150</v>
      </c>
      <c r="F24" s="326"/>
      <c r="G24" s="328"/>
      <c r="H24" s="328"/>
      <c r="I24" s="329" t="s">
        <v>150</v>
      </c>
      <c r="J24" s="330"/>
      <c r="K24" s="325" t="s">
        <v>150</v>
      </c>
      <c r="L24" s="326"/>
      <c r="M24" s="331" t="s">
        <v>150</v>
      </c>
      <c r="N24" s="330"/>
      <c r="O24" s="311"/>
      <c r="P24" s="323" t="s">
        <v>150</v>
      </c>
      <c r="Q24" s="313"/>
    </row>
    <row r="25" spans="1:17" ht="9.75" customHeight="1">
      <c r="A25" s="324" t="s">
        <v>200</v>
      </c>
      <c r="B25" s="315" t="str">
        <f>'12.lan'!D289</f>
        <v>N - Administrative und unterstützende Dienstleistungen</v>
      </c>
      <c r="C25" s="325"/>
      <c r="D25" s="326"/>
      <c r="E25" s="327" t="s">
        <v>150</v>
      </c>
      <c r="F25" s="326"/>
      <c r="G25" s="328"/>
      <c r="H25" s="328"/>
      <c r="I25" s="329" t="s">
        <v>150</v>
      </c>
      <c r="J25" s="330"/>
      <c r="K25" s="325" t="s">
        <v>150</v>
      </c>
      <c r="L25" s="326"/>
      <c r="M25" s="331" t="s">
        <v>150</v>
      </c>
      <c r="N25" s="330"/>
      <c r="O25" s="311"/>
      <c r="P25" s="323" t="s">
        <v>150</v>
      </c>
      <c r="Q25" s="313"/>
    </row>
    <row r="26" spans="1:17" ht="11.25" customHeight="1">
      <c r="A26" s="324" t="s">
        <v>201</v>
      </c>
      <c r="B26" s="315" t="str">
        <f>'12.lan'!D290</f>
        <v>O - Öffentliche Verwaltung; Verteidigung; Sozialversicherungswesen</v>
      </c>
      <c r="C26" s="325"/>
      <c r="D26" s="326"/>
      <c r="E26" s="327" t="s">
        <v>150</v>
      </c>
      <c r="F26" s="326"/>
      <c r="G26" s="328"/>
      <c r="H26" s="328"/>
      <c r="I26" s="329" t="s">
        <v>150</v>
      </c>
      <c r="J26" s="330"/>
      <c r="K26" s="325" t="s">
        <v>150</v>
      </c>
      <c r="L26" s="326"/>
      <c r="M26" s="331" t="s">
        <v>150</v>
      </c>
      <c r="N26" s="330"/>
      <c r="O26" s="311"/>
      <c r="P26" s="323" t="s">
        <v>150</v>
      </c>
      <c r="Q26" s="313"/>
    </row>
    <row r="27" spans="1:17" ht="9.75" customHeight="1">
      <c r="A27" s="324" t="s">
        <v>202</v>
      </c>
      <c r="B27" s="315" t="str">
        <f>'12.lan'!D291</f>
        <v>P - Bildung</v>
      </c>
      <c r="C27" s="325"/>
      <c r="D27" s="326"/>
      <c r="E27" s="327" t="s">
        <v>150</v>
      </c>
      <c r="F27" s="326"/>
      <c r="G27" s="328"/>
      <c r="H27" s="328"/>
      <c r="I27" s="329" t="s">
        <v>150</v>
      </c>
      <c r="J27" s="330"/>
      <c r="K27" s="325" t="s">
        <v>150</v>
      </c>
      <c r="L27" s="326"/>
      <c r="M27" s="331" t="s">
        <v>150</v>
      </c>
      <c r="N27" s="330"/>
      <c r="O27" s="311"/>
      <c r="P27" s="323" t="s">
        <v>150</v>
      </c>
      <c r="Q27" s="313"/>
    </row>
    <row r="28" spans="1:17" ht="9.75" customHeight="1">
      <c r="A28" s="324" t="s">
        <v>203</v>
      </c>
      <c r="B28" s="315" t="str">
        <f>'12.lan'!D292</f>
        <v>Q - Gesundheit und Sozialarbeit</v>
      </c>
      <c r="C28" s="325"/>
      <c r="D28" s="326"/>
      <c r="E28" s="327" t="s">
        <v>150</v>
      </c>
      <c r="F28" s="326"/>
      <c r="G28" s="328"/>
      <c r="H28" s="328"/>
      <c r="I28" s="329" t="s">
        <v>150</v>
      </c>
      <c r="J28" s="330"/>
      <c r="K28" s="325" t="s">
        <v>150</v>
      </c>
      <c r="L28" s="326"/>
      <c r="M28" s="331" t="s">
        <v>150</v>
      </c>
      <c r="N28" s="330"/>
      <c r="O28" s="311"/>
      <c r="P28" s="323" t="s">
        <v>150</v>
      </c>
      <c r="Q28" s="313"/>
    </row>
    <row r="29" spans="1:17" ht="9.75" customHeight="1">
      <c r="A29" s="324" t="s">
        <v>204</v>
      </c>
      <c r="B29" s="315" t="str">
        <f>'12.lan'!D293</f>
        <v>R - Kunst, Unterhaltung und Erholung</v>
      </c>
      <c r="C29" s="325"/>
      <c r="D29" s="326"/>
      <c r="E29" s="327" t="s">
        <v>150</v>
      </c>
      <c r="F29" s="326"/>
      <c r="G29" s="328"/>
      <c r="H29" s="328"/>
      <c r="I29" s="329" t="s">
        <v>150</v>
      </c>
      <c r="J29" s="330"/>
      <c r="K29" s="325" t="s">
        <v>150</v>
      </c>
      <c r="L29" s="326"/>
      <c r="M29" s="331" t="s">
        <v>150</v>
      </c>
      <c r="N29" s="330"/>
      <c r="O29" s="311"/>
      <c r="P29" s="323" t="s">
        <v>150</v>
      </c>
      <c r="Q29" s="313"/>
    </row>
    <row r="30" spans="1:17" ht="9.75" customHeight="1">
      <c r="A30" s="324" t="s">
        <v>205</v>
      </c>
      <c r="B30" s="315" t="str">
        <f>'12.lan'!D294</f>
        <v>S - Andere Dienstleistungen</v>
      </c>
      <c r="C30" s="325"/>
      <c r="D30" s="326"/>
      <c r="E30" s="327" t="s">
        <v>150</v>
      </c>
      <c r="F30" s="326"/>
      <c r="G30" s="328"/>
      <c r="H30" s="328"/>
      <c r="I30" s="329" t="s">
        <v>150</v>
      </c>
      <c r="J30" s="330"/>
      <c r="K30" s="325" t="s">
        <v>150</v>
      </c>
      <c r="L30" s="326"/>
      <c r="M30" s="331" t="s">
        <v>150</v>
      </c>
      <c r="N30" s="330"/>
      <c r="O30" s="311"/>
      <c r="P30" s="323" t="s">
        <v>150</v>
      </c>
      <c r="Q30" s="313"/>
    </row>
    <row r="31" spans="1:17" ht="11.25" customHeight="1">
      <c r="A31" s="324" t="s">
        <v>206</v>
      </c>
      <c r="B31" s="315" t="str">
        <f>'12.lan'!D295</f>
        <v>T - Private Haushalte</v>
      </c>
      <c r="C31" s="325"/>
      <c r="D31" s="326"/>
      <c r="E31" s="327" t="s">
        <v>150</v>
      </c>
      <c r="F31" s="326"/>
      <c r="G31" s="328"/>
      <c r="H31" s="328"/>
      <c r="I31" s="329" t="s">
        <v>150</v>
      </c>
      <c r="J31" s="330"/>
      <c r="K31" s="325" t="s">
        <v>150</v>
      </c>
      <c r="L31" s="326"/>
      <c r="M31" s="331" t="s">
        <v>150</v>
      </c>
      <c r="N31" s="330"/>
      <c r="O31" s="343"/>
      <c r="P31" s="344" t="s">
        <v>150</v>
      </c>
      <c r="Q31" s="345"/>
    </row>
    <row r="32" spans="1:17" ht="12" customHeight="1">
      <c r="A32" s="346" t="s">
        <v>207</v>
      </c>
      <c r="B32" s="315" t="str">
        <f>'12.lan'!D296</f>
        <v>U - Exterritoriale Organisationen und Körperschaften</v>
      </c>
      <c r="C32" s="325"/>
      <c r="D32" s="326"/>
      <c r="E32" s="327" t="s">
        <v>150</v>
      </c>
      <c r="F32" s="326"/>
      <c r="G32" s="328"/>
      <c r="H32" s="328"/>
      <c r="I32" s="329" t="s">
        <v>150</v>
      </c>
      <c r="J32" s="330"/>
      <c r="K32" s="325" t="s">
        <v>150</v>
      </c>
      <c r="L32" s="326"/>
      <c r="M32" s="331" t="s">
        <v>150</v>
      </c>
      <c r="N32" s="330"/>
      <c r="O32" s="343"/>
      <c r="P32" s="344" t="s">
        <v>150</v>
      </c>
      <c r="Q32" s="345"/>
    </row>
    <row r="34" spans="1:12" ht="9.75" customHeight="1">
      <c r="A34" s="347" t="str">
        <f>'9. Weighting'!H35</f>
        <v>Bi</v>
      </c>
      <c r="B34" s="348" t="s">
        <v>208</v>
      </c>
      <c r="C34" s="349">
        <f>'9. Weighting'!I35</f>
        <v>0</v>
      </c>
      <c r="D34" s="348"/>
      <c r="E34" s="348"/>
      <c r="F34" s="348"/>
      <c r="G34" s="348"/>
      <c r="H34" s="348"/>
      <c r="I34" s="350" t="str">
        <f>IFERROR(VLOOKUP(A34,'10. Industry'!$A$4:$O$32,9,FALSE),"mittel")</f>
        <v>mittel</v>
      </c>
      <c r="J34" s="351">
        <f>VLOOKUP(I34,'9. Weighting'!$F$49:$H$53,3,FALSE)</f>
        <v>1</v>
      </c>
      <c r="K34" s="350" t="str">
        <f>IFERROR(VLOOKUP(A34,'10. Industry'!$A$4:$O$32,11,FALSE),"mittel")</f>
        <v>mittel</v>
      </c>
      <c r="L34" s="352">
        <f>VLOOKUP(K34,'9. Weighting'!$F$49:$H$53,3,FALSE)</f>
        <v>1</v>
      </c>
    </row>
    <row r="35" spans="1:12" ht="9.75" customHeight="1">
      <c r="A35" s="353" t="str">
        <f>'9. Weighting'!H36</f>
        <v>Bi</v>
      </c>
      <c r="B35" s="354" t="s">
        <v>209</v>
      </c>
      <c r="C35" s="355">
        <f>'9. Weighting'!I36</f>
        <v>0</v>
      </c>
      <c r="D35" s="354"/>
      <c r="E35" s="354"/>
      <c r="F35" s="354"/>
      <c r="G35" s="354"/>
      <c r="H35" s="354"/>
      <c r="I35" s="450" t="str">
        <f>IFERROR(VLOOKUP(A35,'10. Industry'!$A$4:$O$32,9,FALSE),"mittel")</f>
        <v>mittel</v>
      </c>
      <c r="J35" s="356">
        <f>VLOOKUP(I35,'9. Weighting'!$F$49:$H$53,3,FALSE)</f>
        <v>1</v>
      </c>
      <c r="K35" s="450" t="str">
        <f>IFERROR(VLOOKUP(A35,'10. Industry'!$A$4:$O$32,11,FALSE),"mittel")</f>
        <v>mittel</v>
      </c>
      <c r="L35" s="357">
        <f>VLOOKUP(K35,'9. Weighting'!$F$49:$H$53,3,FALSE)</f>
        <v>1</v>
      </c>
    </row>
    <row r="36" spans="1:12" ht="9.75" customHeight="1">
      <c r="A36" s="353" t="str">
        <f>'9. Weighting'!H37</f>
        <v>Bi</v>
      </c>
      <c r="B36" s="354" t="s">
        <v>210</v>
      </c>
      <c r="C36" s="355">
        <f>'9. Weighting'!I37</f>
        <v>0</v>
      </c>
      <c r="D36" s="354"/>
      <c r="E36" s="354"/>
      <c r="F36" s="354"/>
      <c r="G36" s="354"/>
      <c r="H36" s="354"/>
      <c r="I36" s="450" t="str">
        <f>IFERROR(VLOOKUP(A36,'10. Industry'!$A$4:$O$32,9,FALSE),"mittel")</f>
        <v>mittel</v>
      </c>
      <c r="J36" s="356">
        <f>VLOOKUP(I36,'9. Weighting'!$F$49:$H$53,3,FALSE)</f>
        <v>1</v>
      </c>
      <c r="K36" s="450" t="str">
        <f>IFERROR(VLOOKUP(A36,'10. Industry'!$A$4:$O$32,11,FALSE),"mittel")</f>
        <v>mittel</v>
      </c>
      <c r="L36" s="357">
        <f>VLOOKUP(K36,'9. Weighting'!$F$49:$H$53,3,FALSE)</f>
        <v>1</v>
      </c>
    </row>
    <row r="37" spans="1:12" ht="9.75" customHeight="1">
      <c r="A37" s="353"/>
      <c r="B37" s="354"/>
      <c r="C37" s="358">
        <f>1-SUM(C34:C36)</f>
        <v>1</v>
      </c>
      <c r="D37" s="354"/>
      <c r="E37" s="354"/>
      <c r="F37" s="354"/>
      <c r="G37" s="354"/>
      <c r="H37" s="354"/>
      <c r="I37" s="450" t="s">
        <v>150</v>
      </c>
      <c r="J37" s="356">
        <f>VLOOKUP(I37,'9. Weighting'!$F$49:$H$53,3,FALSE)</f>
        <v>1</v>
      </c>
      <c r="K37" s="450" t="s">
        <v>150</v>
      </c>
      <c r="L37" s="357">
        <f>VLOOKUP(K37,'9. Weighting'!$F$49:$H$53,3,FALSE)</f>
        <v>1</v>
      </c>
    </row>
    <row r="38" spans="1:12" ht="9.75" customHeight="1">
      <c r="A38" s="353"/>
      <c r="B38" s="354"/>
      <c r="C38" s="358">
        <f>SUM(C34:C37)</f>
        <v>1</v>
      </c>
      <c r="D38" s="354"/>
      <c r="E38" s="354"/>
      <c r="F38" s="354"/>
      <c r="G38" s="354"/>
      <c r="H38" s="354"/>
      <c r="I38" s="450"/>
      <c r="J38" s="356">
        <f>C34*J34+C35*J35+C36*J36+C37*J37</f>
        <v>1</v>
      </c>
      <c r="K38" s="450"/>
      <c r="L38" s="357">
        <f>C34*L34+C35*L35+C36*L36+C37*L37</f>
        <v>1</v>
      </c>
    </row>
    <row r="39" spans="1:12" ht="9.75" customHeight="1">
      <c r="A39" s="359"/>
      <c r="B39" s="360" t="s">
        <v>211</v>
      </c>
      <c r="C39" s="361"/>
      <c r="D39" s="362"/>
      <c r="E39" s="362"/>
      <c r="F39" s="362"/>
      <c r="G39" s="362"/>
      <c r="H39" s="362"/>
      <c r="I39" s="361"/>
      <c r="J39" s="362" t="str">
        <f>IF(J38&lt;0.75,"niedrig",IF(J38&lt;1.25,"mittel",IF(J38&gt;1.75,"sehr hoch","hoch")))</f>
        <v>mittel</v>
      </c>
      <c r="K39" s="361"/>
      <c r="L39" s="363" t="str">
        <f>IF(L38&lt;0.75,"niedrig",IF(L38&lt;1.25,"mittel",IF(L38&gt;1.75,"sehr hoch","hoch")))</f>
        <v>mittel</v>
      </c>
    </row>
  </sheetData>
  <sheetProtection algorithmName="SHA-512" hashValue="ETT213pX5aqgYs9j9MkkfvswWL7gJv81QVBFhF9vHUI86cDFCTyKi2xJTH3U2ITlzgAxX/WKdv9baKy3kLdjdg==" saltValue="CTi/ebunl7fCrrhv+4w0Og==" spinCount="100000" sheet="1" selectLockedCells="1" selectUnlockedCells="1"/>
  <mergeCells count="9">
    <mergeCell ref="R2:S2"/>
    <mergeCell ref="A1:Q1"/>
    <mergeCell ref="C2:D2"/>
    <mergeCell ref="E2:F2"/>
    <mergeCell ref="G2:H2"/>
    <mergeCell ref="I2:J2"/>
    <mergeCell ref="K2:L2"/>
    <mergeCell ref="M2:N2"/>
    <mergeCell ref="O2:Q2"/>
  </mergeCell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Q293"/>
  <sheetViews>
    <sheetView topLeftCell="A5" zoomScale="75" zoomScaleNormal="75" workbookViewId="0">
      <pane ySplit="1125" topLeftCell="A229" activePane="bottomLeft"/>
      <selection activeCell="A5" sqref="A1:XFD1048576"/>
      <selection pane="bottomLeft" activeCell="H241" sqref="H241"/>
    </sheetView>
  </sheetViews>
  <sheetFormatPr baseColWidth="10" defaultColWidth="10.28515625" defaultRowHeight="9.75" customHeight="1"/>
  <cols>
    <col min="1" max="1" width="18" style="364" customWidth="1"/>
    <col min="2" max="3" width="16.28515625" style="365" customWidth="1"/>
    <col min="4" max="4" width="19.28515625" style="365" customWidth="1"/>
    <col min="5" max="5" width="22.28515625" style="365" customWidth="1"/>
    <col min="6" max="6" width="20.28515625" style="365" customWidth="1"/>
    <col min="7" max="7" width="10.28515625" style="365" customWidth="1"/>
    <col min="8" max="9" width="10.28515625" style="364" customWidth="1"/>
    <col min="10" max="10" width="10.85546875" style="364" customWidth="1"/>
    <col min="11" max="16384" width="10.28515625" style="364"/>
  </cols>
  <sheetData>
    <row r="1" spans="1:17" ht="27" customHeight="1">
      <c r="A1" s="635" t="s">
        <v>212</v>
      </c>
      <c r="B1" s="635"/>
      <c r="C1" s="635"/>
      <c r="D1" s="635"/>
      <c r="E1" s="635"/>
      <c r="F1" s="635"/>
      <c r="G1" s="635"/>
    </row>
    <row r="2" spans="1:17" ht="34.5" customHeight="1">
      <c r="A2" s="366"/>
      <c r="B2" s="367" t="s">
        <v>213</v>
      </c>
      <c r="C2" s="368" t="s">
        <v>214</v>
      </c>
      <c r="D2" s="368" t="s">
        <v>215</v>
      </c>
      <c r="E2" s="367" t="s">
        <v>216</v>
      </c>
      <c r="F2" s="367" t="s">
        <v>217</v>
      </c>
      <c r="G2" s="367" t="s">
        <v>218</v>
      </c>
      <c r="H2" s="369" t="s">
        <v>219</v>
      </c>
      <c r="I2" s="370" t="s">
        <v>220</v>
      </c>
      <c r="J2" s="371" t="s">
        <v>111</v>
      </c>
      <c r="K2" s="372" t="s">
        <v>221</v>
      </c>
      <c r="L2" s="636" t="s">
        <v>222</v>
      </c>
      <c r="M2" s="636"/>
      <c r="N2" s="636"/>
      <c r="O2" s="637" t="s">
        <v>223</v>
      </c>
      <c r="P2" s="637"/>
      <c r="Q2" s="637"/>
    </row>
    <row r="3" spans="1:17" ht="9.75" customHeight="1">
      <c r="A3" s="366" t="s">
        <v>224</v>
      </c>
      <c r="B3" s="638">
        <f>'9. Weighting'!I10</f>
        <v>0</v>
      </c>
      <c r="C3" s="373">
        <f>'9. Weighting'!I13</f>
        <v>0</v>
      </c>
      <c r="D3" s="374" t="str">
        <f>'9. Weighting'!H13</f>
        <v>Bitte Auswählen</v>
      </c>
      <c r="E3" s="375">
        <f t="shared" ref="E3:E8" si="0">IFERROR(VLOOKUP(D3,$A$22:$G$400,3,FALSE),$C$243)</f>
        <v>0.97803586258736475</v>
      </c>
      <c r="F3" s="376">
        <f t="shared" ref="F3:F8" si="1">IFERROR(C3*E3,"0")</f>
        <v>0</v>
      </c>
      <c r="G3" s="639">
        <f>SUM(F3:F8)</f>
        <v>0</v>
      </c>
      <c r="H3" s="378" t="str">
        <f t="shared" ref="H3:H8" si="2">IFERROR(F3/$G$3,"-")</f>
        <v>-</v>
      </c>
      <c r="I3" s="364">
        <f t="shared" ref="I3:I8" si="3">IFERROR(VLOOKUP(D3,$A$21:$I$134,6,FALSE),2.99)</f>
        <v>2.99</v>
      </c>
      <c r="J3" s="379" t="str">
        <f>'9. Weighting'!E13</f>
        <v>Bi</v>
      </c>
      <c r="K3" s="380" t="str">
        <f>'9. Weighting'!G13</f>
        <v>bitte einfügen</v>
      </c>
      <c r="L3" s="380">
        <f>IFERROR(VLOOKUP(J3,'10. Industry'!$A$4:$P$32,16,FALSE),'3. Calc'!C83)</f>
        <v>1</v>
      </c>
      <c r="M3" s="380" t="e">
        <f>VLOOKUP(L3,'9. Weighting'!$F$49:$H$53,3,FALSE)</f>
        <v>#N/A</v>
      </c>
      <c r="N3" s="381" t="e">
        <f>M3*H3</f>
        <v>#N/A</v>
      </c>
      <c r="O3" s="380">
        <f>IFERROR(VLOOKUP(J3,'10. Industry'!$A$4:$N$32,5,FALSE),'3. Calc'!C83)</f>
        <v>1</v>
      </c>
      <c r="P3" s="380" t="e">
        <f>VLOOKUP(O3,'9. Weighting'!$F$49:$H$53,3,FALSE)</f>
        <v>#N/A</v>
      </c>
      <c r="Q3" s="382" t="e">
        <f>P3*H3</f>
        <v>#N/A</v>
      </c>
    </row>
    <row r="4" spans="1:17" ht="9.75" customHeight="1">
      <c r="A4" s="366" t="s">
        <v>225</v>
      </c>
      <c r="B4" s="638"/>
      <c r="C4" s="373">
        <f>'9. Weighting'!I14</f>
        <v>0</v>
      </c>
      <c r="D4" s="374" t="str">
        <f>'9. Weighting'!H14</f>
        <v>Bitte Auswählen</v>
      </c>
      <c r="E4" s="375">
        <f t="shared" si="0"/>
        <v>0.97803586258736475</v>
      </c>
      <c r="F4" s="376">
        <f t="shared" si="1"/>
        <v>0</v>
      </c>
      <c r="G4" s="639"/>
      <c r="H4" s="378" t="str">
        <f t="shared" si="2"/>
        <v>-</v>
      </c>
      <c r="I4" s="364">
        <f t="shared" si="3"/>
        <v>2.99</v>
      </c>
      <c r="J4" s="379" t="str">
        <f>'9. Weighting'!E14</f>
        <v>Bi</v>
      </c>
      <c r="K4" s="380" t="str">
        <f>'9. Weighting'!G14</f>
        <v>bitte einfügen</v>
      </c>
      <c r="L4" s="380">
        <f>IFERROR(VLOOKUP(J4,'10. Industry'!$A$4:$P$32,16,FALSE),'3. Calc'!C83)</f>
        <v>1</v>
      </c>
      <c r="M4" s="380" t="e">
        <f>VLOOKUP(L4,'9. Weighting'!$F$49:$H$53,3,FALSE)</f>
        <v>#N/A</v>
      </c>
      <c r="N4" s="381" t="e">
        <f>M4*H4</f>
        <v>#N/A</v>
      </c>
      <c r="O4" s="380">
        <f>IFERROR(VLOOKUP(J4,'10. Industry'!$A$4:$N$32,5,FALSE),'3. Calc'!C83)</f>
        <v>1</v>
      </c>
      <c r="P4" s="380" t="e">
        <f>VLOOKUP(O4,'9. Weighting'!$F$49:$H$53,3,FALSE)</f>
        <v>#N/A</v>
      </c>
      <c r="Q4" s="382" t="e">
        <f>P4*H4</f>
        <v>#N/A</v>
      </c>
    </row>
    <row r="5" spans="1:17" ht="9.75" customHeight="1">
      <c r="A5" s="366" t="s">
        <v>226</v>
      </c>
      <c r="B5" s="638"/>
      <c r="C5" s="373">
        <f>'9. Weighting'!I15</f>
        <v>0</v>
      </c>
      <c r="D5" s="374" t="str">
        <f>'9. Weighting'!H15</f>
        <v>Bitte Auswählen</v>
      </c>
      <c r="E5" s="375">
        <f t="shared" si="0"/>
        <v>0.97803586258736475</v>
      </c>
      <c r="F5" s="376">
        <f t="shared" si="1"/>
        <v>0</v>
      </c>
      <c r="G5" s="639"/>
      <c r="H5" s="378" t="str">
        <f t="shared" si="2"/>
        <v>-</v>
      </c>
      <c r="I5" s="364">
        <f t="shared" si="3"/>
        <v>2.99</v>
      </c>
      <c r="J5" s="379" t="str">
        <f>'9. Weighting'!E15</f>
        <v>Bi</v>
      </c>
      <c r="K5" s="380" t="str">
        <f>'9. Weighting'!G15</f>
        <v>bitte einfügen</v>
      </c>
      <c r="L5" s="380">
        <f>IFERROR(VLOOKUP(J5,'10. Industry'!$A$4:$P$32,16,FALSE),'3. Calc'!C83)</f>
        <v>1</v>
      </c>
      <c r="M5" s="380" t="e">
        <f>VLOOKUP(L5,'9. Weighting'!$F$49:$H$53,3,FALSE)</f>
        <v>#N/A</v>
      </c>
      <c r="N5" s="381" t="e">
        <f>M5*H5</f>
        <v>#N/A</v>
      </c>
      <c r="O5" s="380">
        <f>IFERROR(VLOOKUP(J5,'10. Industry'!$A$4:$N$32,5,FALSE),'3. Calc'!C83)</f>
        <v>1</v>
      </c>
      <c r="P5" s="380" t="e">
        <f>VLOOKUP(O5,'9. Weighting'!$F$49:$H$53,3,FALSE)</f>
        <v>#N/A</v>
      </c>
      <c r="Q5" s="382" t="e">
        <f>P5*H5</f>
        <v>#N/A</v>
      </c>
    </row>
    <row r="6" spans="1:17" ht="9.75" customHeight="1">
      <c r="A6" s="366" t="s">
        <v>227</v>
      </c>
      <c r="B6" s="638"/>
      <c r="C6" s="373">
        <f>'9. Weighting'!I16</f>
        <v>0</v>
      </c>
      <c r="D6" s="374" t="str">
        <f>'9. Weighting'!H16</f>
        <v>Bitte Auswählen</v>
      </c>
      <c r="E6" s="375">
        <f t="shared" si="0"/>
        <v>0.97803586258736475</v>
      </c>
      <c r="F6" s="376">
        <f t="shared" si="1"/>
        <v>0</v>
      </c>
      <c r="G6" s="639"/>
      <c r="H6" s="378" t="str">
        <f t="shared" si="2"/>
        <v>-</v>
      </c>
      <c r="I6" s="364">
        <f t="shared" si="3"/>
        <v>2.99</v>
      </c>
      <c r="J6" s="379" t="str">
        <f>'9. Weighting'!E16</f>
        <v>Bi</v>
      </c>
      <c r="K6" s="380" t="str">
        <f>'9. Weighting'!G16</f>
        <v>bitte einfügen</v>
      </c>
      <c r="L6" s="380">
        <f>IFERROR(VLOOKUP(J6,'10. Industry'!$A$4:$P$32,16,FALSE),'3. Calc'!C83)</f>
        <v>1</v>
      </c>
      <c r="M6" s="380" t="e">
        <f>VLOOKUP(L6,'9. Weighting'!$F$49:$H$53,3,FALSE)</f>
        <v>#N/A</v>
      </c>
      <c r="N6" s="381" t="e">
        <f>M6*H6</f>
        <v>#N/A</v>
      </c>
      <c r="O6" s="380">
        <f>IFERROR(VLOOKUP(J6,'10. Industry'!$A$4:$N$32,5,FALSE),'3. Calc'!C83)</f>
        <v>1</v>
      </c>
      <c r="P6" s="380" t="e">
        <f>VLOOKUP(O6,'9. Weighting'!$F$49:$H$53,3,FALSE)</f>
        <v>#N/A</v>
      </c>
      <c r="Q6" s="382" t="e">
        <f>P6*H6</f>
        <v>#N/A</v>
      </c>
    </row>
    <row r="7" spans="1:17" ht="12" customHeight="1">
      <c r="A7" s="366" t="s">
        <v>228</v>
      </c>
      <c r="B7" s="638"/>
      <c r="C7" s="373">
        <f>'9. Weighting'!I17</f>
        <v>0</v>
      </c>
      <c r="D7" s="374" t="str">
        <f>'9. Weighting'!H17</f>
        <v>Bitte Auswählen</v>
      </c>
      <c r="E7" s="375">
        <f t="shared" si="0"/>
        <v>0.97803586258736475</v>
      </c>
      <c r="F7" s="376">
        <f t="shared" si="1"/>
        <v>0</v>
      </c>
      <c r="G7" s="639"/>
      <c r="H7" s="378" t="str">
        <f t="shared" si="2"/>
        <v>-</v>
      </c>
      <c r="I7" s="364">
        <f t="shared" si="3"/>
        <v>2.99</v>
      </c>
      <c r="J7" s="379" t="str">
        <f>'9. Weighting'!E17</f>
        <v>Bi</v>
      </c>
      <c r="K7" s="380" t="str">
        <f>'9. Weighting'!G17</f>
        <v>bitte einfügen</v>
      </c>
      <c r="L7" s="380">
        <f>IFERROR(VLOOKUP(J7,'10. Industry'!$A$4:$P$32,16,FALSE),'3. Calc'!C83)</f>
        <v>1</v>
      </c>
      <c r="M7" s="380" t="e">
        <f>VLOOKUP(L7,'9. Weighting'!$F$49:$H$53,3,FALSE)</f>
        <v>#N/A</v>
      </c>
      <c r="N7" s="381" t="e">
        <f>M7*H7</f>
        <v>#N/A</v>
      </c>
      <c r="O7" s="380">
        <f>IFERROR(VLOOKUP(J7,'10. Industry'!$A$4:$N$32,5,FALSE),'3. Calc'!C83)</f>
        <v>1</v>
      </c>
      <c r="P7" s="380" t="e">
        <f>VLOOKUP(O7,'9. Weighting'!$F$49:$H$53,3,FALSE)</f>
        <v>#N/A</v>
      </c>
      <c r="Q7" s="382" t="e">
        <f>P7*H7</f>
        <v>#N/A</v>
      </c>
    </row>
    <row r="8" spans="1:17" ht="17.100000000000001" customHeight="1">
      <c r="A8" s="383" t="s">
        <v>229</v>
      </c>
      <c r="B8" s="638"/>
      <c r="C8" s="384">
        <f>'9. Weighting'!I18</f>
        <v>0</v>
      </c>
      <c r="D8" s="385" t="str">
        <f>'9. Weighting'!H18</f>
        <v>Bitte Auswählen</v>
      </c>
      <c r="E8" s="375">
        <f t="shared" si="0"/>
        <v>0.97803586258736475</v>
      </c>
      <c r="F8" s="377">
        <f t="shared" si="1"/>
        <v>0</v>
      </c>
      <c r="G8" s="639"/>
      <c r="H8" s="378" t="str">
        <f t="shared" si="2"/>
        <v>-</v>
      </c>
      <c r="I8" s="364">
        <f t="shared" si="3"/>
        <v>2.99</v>
      </c>
      <c r="J8" s="640" t="s">
        <v>230</v>
      </c>
      <c r="K8" s="640"/>
      <c r="L8" s="640"/>
      <c r="M8" s="640"/>
      <c r="N8" s="386">
        <f>IFERROR((SUM(N3:N7)*1)/SUM(H3:H7),1)</f>
        <v>1</v>
      </c>
      <c r="O8" s="387"/>
      <c r="P8" s="387"/>
      <c r="Q8" s="386">
        <f>IFERROR((SUM(Q3:Q7)*1)/SUM(H3:H7),1)</f>
        <v>1</v>
      </c>
    </row>
    <row r="9" spans="1:17" ht="11.1" customHeight="1">
      <c r="A9" s="388"/>
      <c r="B9" s="389"/>
      <c r="C9" s="389"/>
      <c r="D9" s="389"/>
      <c r="E9" s="390"/>
      <c r="F9" s="389"/>
      <c r="G9" s="389"/>
      <c r="H9" s="378"/>
      <c r="I9" s="391">
        <f>IFERROR(I3*H3+I4*H4+I5*H5+I6*H6+I7*H7+I8*H8,I21)</f>
        <v>0</v>
      </c>
    </row>
    <row r="10" spans="1:17" ht="11.1" customHeight="1">
      <c r="A10" s="392" t="s">
        <v>231</v>
      </c>
      <c r="B10" s="393">
        <f>'9. Weighting'!I25</f>
        <v>0</v>
      </c>
      <c r="C10" s="394">
        <f>'2. Company Facts'!D30</f>
        <v>0</v>
      </c>
      <c r="D10" s="395" t="str">
        <f>'2. Company Facts'!B30</f>
        <v>Bitte Auswählen</v>
      </c>
      <c r="E10" s="375">
        <f>IFERROR(VLOOKUP(D10,$A$22:$G$400,3,FALSE),$C$243)</f>
        <v>0.97803586258736475</v>
      </c>
      <c r="F10" s="396">
        <f>C10*E10*B10</f>
        <v>0</v>
      </c>
      <c r="G10" s="396">
        <f>F10+F11+F12+F13</f>
        <v>0</v>
      </c>
      <c r="H10" s="397">
        <f>SUM(H3:H8)</f>
        <v>0</v>
      </c>
      <c r="I10" s="364">
        <f>IFERROR(VLOOKUP(D10,$A$21:$I$134,6,FALSE),I28)</f>
        <v>0</v>
      </c>
    </row>
    <row r="11" spans="1:17" ht="9.75" customHeight="1">
      <c r="A11" s="398"/>
      <c r="B11" s="399"/>
      <c r="C11" s="394">
        <f>'2. Company Facts'!D31</f>
        <v>0</v>
      </c>
      <c r="D11" s="395" t="str">
        <f>'2. Company Facts'!B31</f>
        <v>Bitte Auswählen</v>
      </c>
      <c r="E11" s="375">
        <f>IFERROR(VLOOKUP(D11,$A$22:$G$400,3,FALSE),$C$243)</f>
        <v>0.97803586258736475</v>
      </c>
      <c r="F11" s="396">
        <f>C11*E11*B10</f>
        <v>0</v>
      </c>
      <c r="G11" s="389"/>
      <c r="H11" s="397"/>
      <c r="I11" s="364">
        <f>IFERROR(VLOOKUP(D11,$A$21:$I$134,6,FALSE),I29)</f>
        <v>0</v>
      </c>
    </row>
    <row r="12" spans="1:17" ht="9.75" customHeight="1">
      <c r="A12" s="398"/>
      <c r="B12" s="399"/>
      <c r="C12" s="394">
        <f>'2. Company Facts'!D32</f>
        <v>0</v>
      </c>
      <c r="D12" s="395" t="str">
        <f>'2. Company Facts'!B32</f>
        <v>Bitte Auswählen</v>
      </c>
      <c r="E12" s="375">
        <f>IFERROR(VLOOKUP(D12,$A$22:$G$400,3,FALSE),$C$243)</f>
        <v>0.97803586258736475</v>
      </c>
      <c r="F12" s="396">
        <f>C12*E12*B10</f>
        <v>0</v>
      </c>
      <c r="G12" s="389"/>
      <c r="H12" s="397"/>
      <c r="I12" s="364">
        <f>IFERROR(VLOOKUP(D12,$A$21:$I$134,6,FALSE),I30)</f>
        <v>0</v>
      </c>
    </row>
    <row r="13" spans="1:17" ht="9.75" customHeight="1">
      <c r="A13" s="398"/>
      <c r="B13" s="399"/>
      <c r="C13" s="400">
        <f>1-C10-C11-C12</f>
        <v>1</v>
      </c>
      <c r="D13" s="399" t="str">
        <f>A21</f>
        <v>Country Code</v>
      </c>
      <c r="E13" s="375">
        <f>IFERROR(VLOOKUP(D13,$A$22:$G$400,3,FALSE),$C$243)</f>
        <v>0.97803586258736475</v>
      </c>
      <c r="F13" s="396">
        <f>C13*E13*B10</f>
        <v>0</v>
      </c>
      <c r="G13" s="389"/>
      <c r="H13" s="397"/>
      <c r="I13" s="364">
        <f>IFERROR(VLOOKUP(D13,$A$21:$I$134,9,FALSE),"0")</f>
        <v>0</v>
      </c>
    </row>
    <row r="14" spans="1:17" ht="9.75" customHeight="1">
      <c r="A14" s="364" t="s">
        <v>232</v>
      </c>
      <c r="I14" s="401">
        <f>I10*C10+I11*C11+I12*C12+I13*C13</f>
        <v>0</v>
      </c>
    </row>
    <row r="17" spans="1:10" ht="25.5" customHeight="1">
      <c r="A17" s="402" t="s">
        <v>233</v>
      </c>
      <c r="B17" s="402"/>
      <c r="C17" s="402"/>
      <c r="D17" s="402"/>
      <c r="E17" s="402"/>
      <c r="F17" s="402"/>
      <c r="G17" s="402"/>
      <c r="H17" s="402"/>
    </row>
    <row r="18" spans="1:10" ht="9.75" customHeight="1">
      <c r="A18" s="403" t="s">
        <v>234</v>
      </c>
      <c r="B18" s="403" t="s">
        <v>235</v>
      </c>
      <c r="C18" s="403"/>
      <c r="D18" s="403"/>
      <c r="E18" s="403"/>
      <c r="F18" s="403"/>
      <c r="G18" s="403"/>
      <c r="H18" s="404"/>
    </row>
    <row r="19" spans="1:10" ht="9.75" customHeight="1">
      <c r="A19" s="403" t="s">
        <v>236</v>
      </c>
      <c r="B19" s="405" t="s">
        <v>237</v>
      </c>
      <c r="C19" s="405"/>
      <c r="D19" s="403"/>
      <c r="E19" s="406" t="s">
        <v>238</v>
      </c>
      <c r="F19" s="407"/>
      <c r="G19" s="403"/>
      <c r="H19" s="404" t="s">
        <v>239</v>
      </c>
    </row>
    <row r="20" spans="1:10" ht="9.75" customHeight="1">
      <c r="A20" s="403"/>
      <c r="B20" s="403"/>
      <c r="C20" s="403"/>
      <c r="D20" s="403"/>
      <c r="E20" s="403"/>
      <c r="F20" s="403"/>
      <c r="G20" s="403"/>
      <c r="H20" s="404"/>
    </row>
    <row r="21" spans="1:10" ht="9.75" customHeight="1">
      <c r="A21" s="408" t="s">
        <v>240</v>
      </c>
      <c r="B21" s="408" t="s">
        <v>241</v>
      </c>
      <c r="C21" s="409" t="s">
        <v>3193</v>
      </c>
      <c r="D21" s="409"/>
      <c r="E21" s="408" t="s">
        <v>113</v>
      </c>
      <c r="F21" s="409" t="s">
        <v>3194</v>
      </c>
      <c r="G21" s="410"/>
      <c r="H21" s="411"/>
      <c r="I21" s="412"/>
      <c r="J21" s="412" t="s">
        <v>242</v>
      </c>
    </row>
    <row r="22" spans="1:10" ht="9.75" customHeight="1">
      <c r="A22" s="410" t="str">
        <f>'12.lan'!D339</f>
        <v>ABW Aruba</v>
      </c>
      <c r="B22" s="410" t="s">
        <v>243</v>
      </c>
      <c r="C22" s="413">
        <f>VLOOKUP(B22,'12.ppp data'!$C$3:$J$273,7,FALSE)</f>
        <v>1.9628994497935313</v>
      </c>
      <c r="D22" s="413" t="str">
        <f>IF(VLOOKUP(B22,'12.ppp data'!$C$3:$J$273,8,FALSE)="est","est","-")</f>
        <v>est</v>
      </c>
      <c r="E22" s="410" t="s">
        <v>245</v>
      </c>
      <c r="F22" s="413">
        <v>3.4210526315789473</v>
      </c>
      <c r="G22" s="413" t="s">
        <v>244</v>
      </c>
      <c r="H22" s="365"/>
      <c r="I22" s="412"/>
      <c r="J22" s="410" t="s">
        <v>246</v>
      </c>
    </row>
    <row r="23" spans="1:10" ht="9.75" customHeight="1">
      <c r="A23" s="410" t="str">
        <f>'12.lan'!D340</f>
        <v>AFG Afghanistan</v>
      </c>
      <c r="B23" s="410" t="s">
        <v>247</v>
      </c>
      <c r="C23" s="413">
        <f>VLOOKUP(B23,'12.ppp data'!$C$3:$J$273,7,FALSE)</f>
        <v>3.7763264165136152</v>
      </c>
      <c r="D23" s="413" t="str">
        <f>IF(VLOOKUP(B23,'12.ppp data'!$C$3:$J$273,8,FALSE)="est","est","-")</f>
        <v>-</v>
      </c>
      <c r="E23" s="410" t="s">
        <v>248</v>
      </c>
      <c r="F23" s="413">
        <v>4.1785714285714288</v>
      </c>
      <c r="G23" s="413" t="s">
        <v>244</v>
      </c>
      <c r="H23" s="365"/>
      <c r="I23" s="412"/>
      <c r="J23" s="410" t="s">
        <v>249</v>
      </c>
    </row>
    <row r="24" spans="1:10" ht="9.75" customHeight="1">
      <c r="A24" s="410" t="str">
        <f>'12.lan'!D341</f>
        <v>AGO Angola</v>
      </c>
      <c r="B24" s="410" t="s">
        <v>250</v>
      </c>
      <c r="C24" s="413">
        <f>VLOOKUP(B24,'12.ppp data'!$C$3:$J$273,7,FALSE)</f>
        <v>1.7217817922468739</v>
      </c>
      <c r="D24" s="413" t="str">
        <f>IF(VLOOKUP(B24,'12.ppp data'!$C$3:$J$273,8,FALSE)="est","est","-")</f>
        <v>-</v>
      </c>
      <c r="E24" s="410" t="s">
        <v>251</v>
      </c>
      <c r="F24" s="413">
        <v>2</v>
      </c>
      <c r="G24" s="413"/>
      <c r="H24" s="411"/>
      <c r="I24" s="412"/>
      <c r="J24" s="410" t="s">
        <v>252</v>
      </c>
    </row>
    <row r="25" spans="1:10" ht="9.75" customHeight="1">
      <c r="A25" s="410" t="str">
        <f>'12.lan'!D342</f>
        <v>ALB Albanien</v>
      </c>
      <c r="B25" s="410" t="s">
        <v>253</v>
      </c>
      <c r="C25" s="413">
        <f>VLOOKUP(B25,'12.ppp data'!$C$3:$J$273,7,FALSE)</f>
        <v>2.9566126666919685</v>
      </c>
      <c r="D25" s="413" t="str">
        <f>IF(VLOOKUP(B25,'12.ppp data'!$C$3:$J$273,8,FALSE)="est","est","-")</f>
        <v>-</v>
      </c>
      <c r="E25" s="410" t="s">
        <v>254</v>
      </c>
      <c r="F25" s="413">
        <v>2</v>
      </c>
      <c r="G25" s="413"/>
      <c r="H25" s="414"/>
      <c r="I25" s="412"/>
      <c r="J25" s="410" t="s">
        <v>255</v>
      </c>
    </row>
    <row r="26" spans="1:10" ht="9.75" customHeight="1">
      <c r="A26" s="410" t="str">
        <f>'12.lan'!D343</f>
        <v>AND Andorra</v>
      </c>
      <c r="B26" s="410" t="s">
        <v>256</v>
      </c>
      <c r="C26" s="413">
        <f>VLOOKUP(B26,'12.ppp data'!$C$3:$J$273,7,FALSE)</f>
        <v>1.9328616451977572</v>
      </c>
      <c r="D26" s="413" t="str">
        <f>IF(VLOOKUP(B26,'12.ppp data'!$C$3:$J$273,8,FALSE)="est","est","-")</f>
        <v>est</v>
      </c>
      <c r="E26" s="410" t="s">
        <v>254</v>
      </c>
      <c r="F26" s="413">
        <v>2</v>
      </c>
      <c r="G26" s="413" t="s">
        <v>244</v>
      </c>
      <c r="H26" s="415"/>
      <c r="I26" s="412"/>
      <c r="J26" s="410" t="s">
        <v>257</v>
      </c>
    </row>
    <row r="27" spans="1:10" ht="9.75" customHeight="1">
      <c r="A27" s="410" t="str">
        <f>'12.lan'!D344</f>
        <v>ARE Vereinigte Arabische Emirate</v>
      </c>
      <c r="B27" s="410" t="s">
        <v>258</v>
      </c>
      <c r="C27" s="413">
        <f>VLOOKUP(B27,'12.ppp data'!$C$3:$J$273,7,FALSE)</f>
        <v>2.0501080313559403</v>
      </c>
      <c r="D27" s="413" t="str">
        <f>IF(VLOOKUP(B27,'12.ppp data'!$C$3:$J$273,8,FALSE)="est","est","-")</f>
        <v>-</v>
      </c>
      <c r="E27" s="410" t="s">
        <v>248</v>
      </c>
      <c r="F27" s="413">
        <v>5</v>
      </c>
      <c r="G27" s="413"/>
      <c r="H27" s="415"/>
      <c r="I27" s="412"/>
      <c r="J27" s="410" t="s">
        <v>259</v>
      </c>
    </row>
    <row r="28" spans="1:10" ht="9.75" customHeight="1">
      <c r="A28" s="410" t="str">
        <f>'12.lan'!D345</f>
        <v>ARG Argentinien</v>
      </c>
      <c r="B28" s="410" t="s">
        <v>260</v>
      </c>
      <c r="C28" s="413">
        <f>VLOOKUP(B28,'12.ppp data'!$C$3:$J$273,7,FALSE)</f>
        <v>1.6274705907178522</v>
      </c>
      <c r="D28" s="413" t="str">
        <f>IF(VLOOKUP(B28,'12.ppp data'!$C$3:$J$273,8,FALSE)="est","est","-")</f>
        <v>-</v>
      </c>
      <c r="E28" s="410" t="s">
        <v>245</v>
      </c>
      <c r="F28" s="413">
        <v>4</v>
      </c>
      <c r="G28" s="413"/>
      <c r="H28" s="414"/>
      <c r="J28" s="410" t="s">
        <v>261</v>
      </c>
    </row>
    <row r="29" spans="1:10" ht="9.75" customHeight="1">
      <c r="A29" s="410" t="str">
        <f>'12.lan'!D346</f>
        <v>ARM Armenien</v>
      </c>
      <c r="B29" s="410" t="s">
        <v>262</v>
      </c>
      <c r="C29" s="413">
        <f>VLOOKUP(B29,'12.ppp data'!$C$3:$J$273,7,FALSE)</f>
        <v>2.6723673375423806</v>
      </c>
      <c r="D29" s="413" t="str">
        <f>IF(VLOOKUP(B29,'12.ppp data'!$C$3:$J$273,8,FALSE)="est","est","-")</f>
        <v>-</v>
      </c>
      <c r="E29" s="410" t="s">
        <v>248</v>
      </c>
      <c r="F29" s="413">
        <v>4.1785714285714288</v>
      </c>
      <c r="G29" s="413" t="s">
        <v>244</v>
      </c>
      <c r="H29" s="414"/>
      <c r="J29" s="410" t="s">
        <v>263</v>
      </c>
    </row>
    <row r="30" spans="1:10" ht="9.75" customHeight="1">
      <c r="A30" s="410" t="str">
        <f>'12.lan'!D347</f>
        <v>ASM Amerikanisch-Samoa</v>
      </c>
      <c r="B30" s="410" t="s">
        <v>264</v>
      </c>
      <c r="C30" s="413">
        <f>VLOOKUP(B30,'12.ppp data'!$C$3:$J$273,7,FALSE)</f>
        <v>1.3563308370936336</v>
      </c>
      <c r="D30" s="413" t="str">
        <f>IF(VLOOKUP(B30,'12.ppp data'!$C$3:$J$273,8,FALSE)="est","est","-")</f>
        <v>est</v>
      </c>
      <c r="E30" s="410" t="s">
        <v>265</v>
      </c>
      <c r="F30" s="413">
        <v>3</v>
      </c>
      <c r="G30" s="413"/>
      <c r="H30" s="414"/>
      <c r="J30" s="410" t="s">
        <v>266</v>
      </c>
    </row>
    <row r="31" spans="1:10" ht="9.75" customHeight="1">
      <c r="A31" s="410" t="str">
        <f>'12.lan'!D348</f>
        <v>ATG Antigua und Barbuda</v>
      </c>
      <c r="B31" s="410" t="s">
        <v>267</v>
      </c>
      <c r="C31" s="413">
        <f>VLOOKUP(B31,'12.ppp data'!$C$3:$J$273,7,FALSE)</f>
        <v>1.7740364576924315</v>
      </c>
      <c r="D31" s="413" t="str">
        <f>IF(VLOOKUP(B31,'12.ppp data'!$C$3:$J$273,8,FALSE)="est","est","-")</f>
        <v>-</v>
      </c>
      <c r="E31" s="410" t="s">
        <v>245</v>
      </c>
      <c r="F31" s="413">
        <v>3.4210526315789473</v>
      </c>
      <c r="G31" s="413" t="s">
        <v>244</v>
      </c>
      <c r="H31" s="414"/>
      <c r="J31" s="410" t="s">
        <v>268</v>
      </c>
    </row>
    <row r="32" spans="1:10" ht="9.75" customHeight="1">
      <c r="A32" s="410" t="str">
        <f>'12.lan'!D349</f>
        <v>AUS Australien</v>
      </c>
      <c r="B32" s="410" t="s">
        <v>269</v>
      </c>
      <c r="C32" s="413">
        <f>VLOOKUP(B32,'12.ppp data'!$C$3:$J$273,7,FALSE)</f>
        <v>0.97205158284555404</v>
      </c>
      <c r="D32" s="413" t="str">
        <f>IF(VLOOKUP(B32,'12.ppp data'!$C$3:$J$273,8,FALSE)="est","est","-")</f>
        <v>-</v>
      </c>
      <c r="E32" s="410" t="s">
        <v>265</v>
      </c>
      <c r="F32" s="413">
        <v>3</v>
      </c>
      <c r="G32" s="413" t="s">
        <v>244</v>
      </c>
      <c r="H32" s="414"/>
      <c r="J32" s="410" t="s">
        <v>270</v>
      </c>
    </row>
    <row r="33" spans="1:10" ht="9.75" customHeight="1">
      <c r="A33" s="410" t="str">
        <f>'12.lan'!D350</f>
        <v>AUT Österreich</v>
      </c>
      <c r="B33" s="410" t="s">
        <v>271</v>
      </c>
      <c r="C33" s="413">
        <f>VLOOKUP(B33,'12.ppp data'!$C$3:$J$273,7,FALSE)</f>
        <v>1.252387363411503</v>
      </c>
      <c r="D33" s="413" t="str">
        <f>IF(VLOOKUP(B33,'12.ppp data'!$C$3:$J$273,8,FALSE)="est","est","-")</f>
        <v>-</v>
      </c>
      <c r="E33" s="410" t="s">
        <v>254</v>
      </c>
      <c r="F33" s="413">
        <v>1</v>
      </c>
      <c r="G33" s="413"/>
      <c r="H33" s="414"/>
      <c r="J33" s="410" t="s">
        <v>272</v>
      </c>
    </row>
    <row r="34" spans="1:10" ht="9.75" customHeight="1">
      <c r="A34" s="410" t="str">
        <f>'12.lan'!D351</f>
        <v>AZE Aserbaidschan</v>
      </c>
      <c r="B34" s="410" t="s">
        <v>273</v>
      </c>
      <c r="C34" s="413">
        <f>VLOOKUP(B34,'12.ppp data'!$C$3:$J$273,7,FALSE)</f>
        <v>4.7310309171486411</v>
      </c>
      <c r="D34" s="413" t="str">
        <f>IF(VLOOKUP(B34,'12.ppp data'!$C$3:$J$273,8,FALSE)="est","est","-")</f>
        <v>-</v>
      </c>
      <c r="E34" s="410" t="s">
        <v>248</v>
      </c>
      <c r="F34" s="413">
        <v>4.1785714285714288</v>
      </c>
      <c r="G34" s="413" t="s">
        <v>244</v>
      </c>
      <c r="H34" s="414"/>
      <c r="J34" s="410" t="s">
        <v>274</v>
      </c>
    </row>
    <row r="35" spans="1:10" ht="9.75" customHeight="1">
      <c r="A35" s="410" t="str">
        <f>'12.lan'!D352</f>
        <v>BDI Burundi</v>
      </c>
      <c r="B35" s="410" t="s">
        <v>275</v>
      </c>
      <c r="C35" s="413">
        <f>VLOOKUP(B35,'12.ppp data'!$C$3:$J$273,7,FALSE)</f>
        <v>2.6736725667356298</v>
      </c>
      <c r="D35" s="413" t="str">
        <f>IF(VLOOKUP(B35,'12.ppp data'!$C$3:$J$273,8,FALSE)="est","est","-")</f>
        <v>-</v>
      </c>
      <c r="E35" s="410" t="s">
        <v>251</v>
      </c>
      <c r="F35" s="413">
        <v>3.7083333333333335</v>
      </c>
      <c r="G35" s="413" t="s">
        <v>244</v>
      </c>
      <c r="H35" s="414"/>
      <c r="J35" s="410" t="s">
        <v>276</v>
      </c>
    </row>
    <row r="36" spans="1:10" ht="9.75" customHeight="1">
      <c r="A36" s="410" t="str">
        <f>'12.lan'!D353</f>
        <v>BEL Belgien</v>
      </c>
      <c r="B36" s="410" t="s">
        <v>277</v>
      </c>
      <c r="C36" s="413">
        <f>VLOOKUP(B36,'12.ppp data'!$C$3:$J$273,7,FALSE)</f>
        <v>1.2371047295750917</v>
      </c>
      <c r="D36" s="413" t="str">
        <f>IF(VLOOKUP(B36,'12.ppp data'!$C$3:$J$273,8,FALSE)="est","est","-")</f>
        <v>-</v>
      </c>
      <c r="E36" s="410" t="s">
        <v>254</v>
      </c>
      <c r="F36" s="413">
        <v>1</v>
      </c>
      <c r="G36" s="413"/>
      <c r="H36" s="365"/>
      <c r="J36" s="410" t="s">
        <v>278</v>
      </c>
    </row>
    <row r="37" spans="1:10" ht="9.75" customHeight="1">
      <c r="A37" s="410" t="str">
        <f>'12.lan'!D354</f>
        <v>BEN Benin</v>
      </c>
      <c r="B37" s="410" t="s">
        <v>279</v>
      </c>
      <c r="C37" s="413">
        <f>VLOOKUP(B37,'12.ppp data'!$C$3:$J$273,7,FALSE)</f>
        <v>3.0882926553539054</v>
      </c>
      <c r="D37" s="413" t="str">
        <f>IF(VLOOKUP(B37,'12.ppp data'!$C$3:$J$273,8,FALSE)="est","est","-")</f>
        <v>-</v>
      </c>
      <c r="E37" s="410" t="s">
        <v>251</v>
      </c>
      <c r="F37" s="413">
        <v>3.7083333333333335</v>
      </c>
      <c r="G37" s="413" t="s">
        <v>244</v>
      </c>
      <c r="H37" s="365"/>
      <c r="J37" s="410" t="s">
        <v>280</v>
      </c>
    </row>
    <row r="38" spans="1:10" ht="9.75" customHeight="1">
      <c r="A38" s="410" t="str">
        <f>'12.lan'!D355</f>
        <v>BFA Burkina Faso</v>
      </c>
      <c r="B38" s="410" t="s">
        <v>281</v>
      </c>
      <c r="C38" s="413">
        <f>VLOOKUP(B38,'12.ppp data'!$C$3:$J$273,7,FALSE)</f>
        <v>3.1441203989430693</v>
      </c>
      <c r="D38" s="413" t="str">
        <f>IF(VLOOKUP(B38,'12.ppp data'!$C$3:$J$273,8,FALSE)="est","est","-")</f>
        <v>-</v>
      </c>
      <c r="E38" s="410" t="s">
        <v>251</v>
      </c>
      <c r="F38" s="413">
        <v>3.7083333333333335</v>
      </c>
      <c r="G38" s="413" t="s">
        <v>244</v>
      </c>
      <c r="H38" s="365"/>
      <c r="J38" s="410" t="s">
        <v>282</v>
      </c>
    </row>
    <row r="39" spans="1:10" ht="9.75" customHeight="1">
      <c r="A39" s="410" t="str">
        <f>'12.lan'!D356</f>
        <v>BGD Bangladesch</v>
      </c>
      <c r="B39" s="410" t="s">
        <v>283</v>
      </c>
      <c r="C39" s="413">
        <f>VLOOKUP(B39,'12.ppp data'!$C$3:$J$273,7,FALSE)</f>
        <v>2.911298949024506</v>
      </c>
      <c r="D39" s="413" t="str">
        <f>IF(VLOOKUP(B39,'12.ppp data'!$C$3:$J$273,8,FALSE)="est","est","-")</f>
        <v>-</v>
      </c>
      <c r="E39" s="410" t="s">
        <v>248</v>
      </c>
      <c r="F39" s="413">
        <v>5</v>
      </c>
      <c r="G39" s="413"/>
      <c r="H39" s="365"/>
      <c r="J39" s="410" t="s">
        <v>284</v>
      </c>
    </row>
    <row r="40" spans="1:10" ht="9.75" customHeight="1">
      <c r="A40" s="410" t="str">
        <f>'12.lan'!D357</f>
        <v>BGR Bulgarien</v>
      </c>
      <c r="B40" s="410" t="s">
        <v>285</v>
      </c>
      <c r="C40" s="413">
        <f>VLOOKUP(B40,'12.ppp data'!$C$3:$J$273,7,FALSE)</f>
        <v>2.8473179290648658</v>
      </c>
      <c r="D40" s="413" t="str">
        <f>IF(VLOOKUP(B40,'12.ppp data'!$C$3:$J$273,8,FALSE)="est","est","-")</f>
        <v>-</v>
      </c>
      <c r="E40" s="410" t="s">
        <v>254</v>
      </c>
      <c r="F40" s="413">
        <v>3</v>
      </c>
      <c r="G40" s="413"/>
      <c r="H40" s="365"/>
      <c r="J40" s="410" t="s">
        <v>286</v>
      </c>
    </row>
    <row r="41" spans="1:10" ht="9.75" customHeight="1">
      <c r="A41" s="410" t="str">
        <f>'12.lan'!D358</f>
        <v>BHR Bahrain</v>
      </c>
      <c r="B41" s="410" t="s">
        <v>287</v>
      </c>
      <c r="C41" s="413">
        <f>VLOOKUP(B41,'12.ppp data'!$C$3:$J$273,7,FALSE)</f>
        <v>2.2575642821440924</v>
      </c>
      <c r="D41" s="413" t="str">
        <f>IF(VLOOKUP(B41,'12.ppp data'!$C$3:$J$273,8,FALSE)="est","est","-")</f>
        <v>-</v>
      </c>
      <c r="E41" s="410" t="s">
        <v>248</v>
      </c>
      <c r="F41" s="413">
        <v>4</v>
      </c>
      <c r="G41" s="413"/>
      <c r="H41" s="365"/>
      <c r="J41" s="410" t="s">
        <v>288</v>
      </c>
    </row>
    <row r="42" spans="1:10" ht="9.75" customHeight="1">
      <c r="A42" s="410" t="str">
        <f>'12.lan'!D359</f>
        <v>BHS Bahamas</v>
      </c>
      <c r="B42" s="410" t="s">
        <v>289</v>
      </c>
      <c r="C42" s="413">
        <f>VLOOKUP(B42,'12.ppp data'!$C$3:$J$273,7,FALSE)</f>
        <v>1.117305709261889</v>
      </c>
      <c r="D42" s="413" t="str">
        <f>IF(VLOOKUP(B42,'12.ppp data'!$C$3:$J$273,8,FALSE)="est","est","-")</f>
        <v>-</v>
      </c>
      <c r="E42" s="410" t="s">
        <v>245</v>
      </c>
      <c r="F42" s="413">
        <v>3.4210526315789473</v>
      </c>
      <c r="G42" s="413" t="s">
        <v>244</v>
      </c>
      <c r="H42" s="365"/>
      <c r="J42" s="410" t="s">
        <v>290</v>
      </c>
    </row>
    <row r="43" spans="1:10" ht="9.75" customHeight="1">
      <c r="A43" s="410" t="str">
        <f>'12.lan'!D360</f>
        <v>BIH Bosnien und Herzegowina</v>
      </c>
      <c r="B43" s="410" t="s">
        <v>291</v>
      </c>
      <c r="C43" s="413">
        <f>VLOOKUP(B43,'12.ppp data'!$C$3:$J$273,7,FALSE)</f>
        <v>2.8020129057999972</v>
      </c>
      <c r="D43" s="413" t="str">
        <f>IF(VLOOKUP(B43,'12.ppp data'!$C$3:$J$273,8,FALSE)="est","est","-")</f>
        <v>-</v>
      </c>
      <c r="E43" s="410" t="s">
        <v>254</v>
      </c>
      <c r="F43" s="413">
        <v>2</v>
      </c>
      <c r="G43" s="413"/>
      <c r="H43" s="365"/>
      <c r="J43" s="410" t="s">
        <v>292</v>
      </c>
    </row>
    <row r="44" spans="1:10" ht="9.75" customHeight="1">
      <c r="A44" s="410" t="str">
        <f>'12.lan'!D361</f>
        <v>BLR Belarus</v>
      </c>
      <c r="B44" s="410" t="s">
        <v>293</v>
      </c>
      <c r="C44" s="413">
        <f>VLOOKUP(B44,'12.ppp data'!$C$3:$J$273,7,FALSE)</f>
        <v>3.8046141829507074</v>
      </c>
      <c r="D44" s="413" t="str">
        <f>IF(VLOOKUP(B44,'12.ppp data'!$C$3:$J$273,8,FALSE)="est","est","-")</f>
        <v>-</v>
      </c>
      <c r="E44" s="410" t="s">
        <v>254</v>
      </c>
      <c r="F44" s="413">
        <v>5</v>
      </c>
      <c r="G44" s="413"/>
      <c r="H44" s="365"/>
      <c r="J44" s="410" t="s">
        <v>294</v>
      </c>
    </row>
    <row r="45" spans="1:10" ht="9.75" customHeight="1">
      <c r="A45" s="410" t="str">
        <f>'12.lan'!D362</f>
        <v>BLZ Belize</v>
      </c>
      <c r="B45" s="410" t="s">
        <v>295</v>
      </c>
      <c r="C45" s="413">
        <f>VLOOKUP(B45,'12.ppp data'!$C$3:$J$273,7,FALSE)</f>
        <v>1.9778456107043767</v>
      </c>
      <c r="D45" s="413" t="str">
        <f>IF(VLOOKUP(B45,'12.ppp data'!$C$3:$J$273,8,FALSE)="est","est","-")</f>
        <v>-</v>
      </c>
      <c r="E45" s="410" t="s">
        <v>245</v>
      </c>
      <c r="F45" s="413">
        <v>3.4210526315789473</v>
      </c>
      <c r="G45" s="413" t="s">
        <v>244</v>
      </c>
      <c r="H45" s="365"/>
      <c r="J45" s="410" t="s">
        <v>296</v>
      </c>
    </row>
    <row r="46" spans="1:10" ht="9.75" customHeight="1">
      <c r="A46" s="410" t="str">
        <f>'12.lan'!D363</f>
        <v>BMU Bermuda</v>
      </c>
      <c r="B46" s="410" t="s">
        <v>297</v>
      </c>
      <c r="C46" s="413">
        <f>VLOOKUP(B46,'12.ppp data'!$C$3:$J$273,7,FALSE)</f>
        <v>1.9628994497935313</v>
      </c>
      <c r="D46" s="413" t="str">
        <f>IF(VLOOKUP(B46,'12.ppp data'!$C$3:$J$273,8,FALSE)="est","est","-")</f>
        <v>est</v>
      </c>
      <c r="E46" s="410" t="s">
        <v>245</v>
      </c>
      <c r="F46" s="413">
        <v>3.4210526315789473</v>
      </c>
      <c r="G46" s="413" t="s">
        <v>244</v>
      </c>
      <c r="H46" s="365"/>
      <c r="J46" s="410" t="s">
        <v>298</v>
      </c>
    </row>
    <row r="47" spans="1:10" ht="9.75" customHeight="1">
      <c r="A47" s="410" t="str">
        <f>'12.lan'!D364</f>
        <v>BOL Bolivien</v>
      </c>
      <c r="B47" s="410" t="s">
        <v>299</v>
      </c>
      <c r="C47" s="413">
        <f>VLOOKUP(B47,'12.ppp data'!$C$3:$J$273,7,FALSE)</f>
        <v>2.4675622866480187</v>
      </c>
      <c r="D47" s="413" t="str">
        <f>IF(VLOOKUP(B47,'12.ppp data'!$C$3:$J$273,8,FALSE)="est","est","-")</f>
        <v>-</v>
      </c>
      <c r="E47" s="410" t="s">
        <v>245</v>
      </c>
      <c r="F47" s="413">
        <v>3</v>
      </c>
      <c r="G47" s="413"/>
      <c r="H47" s="365"/>
      <c r="J47" s="410" t="s">
        <v>300</v>
      </c>
    </row>
    <row r="48" spans="1:10" ht="9.75" customHeight="1">
      <c r="A48" s="410" t="str">
        <f>'12.lan'!D365</f>
        <v>BRA Brasilien</v>
      </c>
      <c r="B48" s="410" t="s">
        <v>301</v>
      </c>
      <c r="C48" s="413">
        <f>VLOOKUP(B48,'12.ppp data'!$C$3:$J$273,7,FALSE)</f>
        <v>1.7802721126230918</v>
      </c>
      <c r="D48" s="413" t="str">
        <f>IF(VLOOKUP(B48,'12.ppp data'!$C$3:$J$273,8,FALSE)="est","est","-")</f>
        <v>-</v>
      </c>
      <c r="E48" s="410" t="s">
        <v>245</v>
      </c>
      <c r="F48" s="413">
        <v>3</v>
      </c>
      <c r="G48" s="413"/>
      <c r="H48" s="365"/>
      <c r="J48" s="410" t="s">
        <v>302</v>
      </c>
    </row>
    <row r="49" spans="1:10" ht="9.75" customHeight="1">
      <c r="A49" s="410" t="str">
        <f>'12.lan'!D366</f>
        <v>BRB Barbados</v>
      </c>
      <c r="B49" s="410" t="s">
        <v>303</v>
      </c>
      <c r="C49" s="413">
        <f>VLOOKUP(B49,'12.ppp data'!$C$3:$J$273,7,FALSE)</f>
        <v>1.2540038546613537</v>
      </c>
      <c r="D49" s="413" t="str">
        <f>IF(VLOOKUP(B49,'12.ppp data'!$C$3:$J$273,8,FALSE)="est","est","-")</f>
        <v>-</v>
      </c>
      <c r="E49" s="410" t="s">
        <v>245</v>
      </c>
      <c r="F49" s="413">
        <v>3.4210526315789473</v>
      </c>
      <c r="G49" s="413" t="s">
        <v>244</v>
      </c>
      <c r="H49" s="365"/>
      <c r="J49" s="410" t="s">
        <v>304</v>
      </c>
    </row>
    <row r="50" spans="1:10" ht="9.75" customHeight="1">
      <c r="A50" s="410" t="str">
        <f>'12.lan'!D367</f>
        <v>BRN Brunei Darussalam</v>
      </c>
      <c r="B50" s="410" t="s">
        <v>305</v>
      </c>
      <c r="C50" s="413">
        <f>VLOOKUP(B50,'12.ppp data'!$C$3:$J$273,7,FALSE)</f>
        <v>3.1176181528100453</v>
      </c>
      <c r="D50" s="413" t="str">
        <f>IF(VLOOKUP(B50,'12.ppp data'!$C$3:$J$273,8,FALSE)="est","est","-")</f>
        <v>-</v>
      </c>
      <c r="E50" s="410" t="s">
        <v>248</v>
      </c>
      <c r="F50" s="413">
        <v>4.1785714285714288</v>
      </c>
      <c r="G50" s="413" t="s">
        <v>244</v>
      </c>
      <c r="H50" s="365"/>
      <c r="J50" s="410" t="s">
        <v>306</v>
      </c>
    </row>
    <row r="51" spans="1:10" ht="9.75" customHeight="1">
      <c r="A51" s="410" t="str">
        <f>'12.lan'!D368</f>
        <v>BTN Bhutan</v>
      </c>
      <c r="B51" s="410" t="s">
        <v>307</v>
      </c>
      <c r="C51" s="413">
        <f>VLOOKUP(B51,'12.ppp data'!$C$3:$J$273,7,FALSE)</f>
        <v>3.3234092918740692</v>
      </c>
      <c r="D51" s="413" t="str">
        <f>IF(VLOOKUP(B51,'12.ppp data'!$C$3:$J$273,8,FALSE)="est","est","-")</f>
        <v>-</v>
      </c>
      <c r="E51" s="410" t="s">
        <v>248</v>
      </c>
      <c r="F51" s="413">
        <v>4.1785714285714288</v>
      </c>
      <c r="G51" s="413" t="s">
        <v>244</v>
      </c>
      <c r="H51" s="365"/>
      <c r="J51" s="410" t="s">
        <v>308</v>
      </c>
    </row>
    <row r="52" spans="1:10" ht="9.75" customHeight="1">
      <c r="A52" s="410" t="str">
        <f>'12.lan'!D369</f>
        <v>BWA Botswana</v>
      </c>
      <c r="B52" s="410" t="s">
        <v>309</v>
      </c>
      <c r="C52" s="413">
        <f>VLOOKUP(B52,'12.ppp data'!$C$3:$J$273,7,FALSE)</f>
        <v>2.5503043498706708</v>
      </c>
      <c r="D52" s="413" t="str">
        <f>IF(VLOOKUP(B52,'12.ppp data'!$C$3:$J$273,8,FALSE)="est","est","-")</f>
        <v>-</v>
      </c>
      <c r="E52" s="410" t="s">
        <v>251</v>
      </c>
      <c r="F52" s="413">
        <v>4</v>
      </c>
      <c r="G52" s="413"/>
      <c r="H52" s="365"/>
      <c r="J52" s="410" t="s">
        <v>310</v>
      </c>
    </row>
    <row r="53" spans="1:10" ht="9.75" customHeight="1">
      <c r="A53" s="410" t="str">
        <f>'12.lan'!D370</f>
        <v>CAF Zentralafrikanische Republik</v>
      </c>
      <c r="B53" s="410" t="s">
        <v>311</v>
      </c>
      <c r="C53" s="413">
        <f>VLOOKUP(B53,'12.ppp data'!$C$3:$J$273,7,FALSE)</f>
        <v>1.959025642488365</v>
      </c>
      <c r="D53" s="413" t="str">
        <f>IF(VLOOKUP(B53,'12.ppp data'!$C$3:$J$273,8,FALSE)="est","est","-")</f>
        <v>-</v>
      </c>
      <c r="E53" s="410" t="s">
        <v>251</v>
      </c>
      <c r="F53" s="413">
        <v>3.7083333333333335</v>
      </c>
      <c r="G53" s="413" t="s">
        <v>244</v>
      </c>
      <c r="H53" s="365"/>
      <c r="J53" s="410" t="s">
        <v>312</v>
      </c>
    </row>
    <row r="54" spans="1:10" ht="9.75" customHeight="1">
      <c r="A54" s="410" t="str">
        <f>'12.lan'!D371</f>
        <v>CAN Kanada</v>
      </c>
      <c r="B54" s="410" t="s">
        <v>313</v>
      </c>
      <c r="C54" s="413">
        <f>VLOOKUP(B54,'12.ppp data'!$C$3:$J$273,7,FALSE)</f>
        <v>1.1634745723704574</v>
      </c>
      <c r="D54" s="413" t="str">
        <f>IF(VLOOKUP(B54,'12.ppp data'!$C$3:$J$273,8,FALSE)="est","est","-")</f>
        <v>-</v>
      </c>
      <c r="E54" s="410" t="s">
        <v>245</v>
      </c>
      <c r="F54" s="413">
        <v>3</v>
      </c>
      <c r="G54" s="413"/>
      <c r="H54" s="365"/>
      <c r="I54" s="416"/>
      <c r="J54" s="410" t="s">
        <v>314</v>
      </c>
    </row>
    <row r="55" spans="1:10" ht="9.75" customHeight="1">
      <c r="A55" s="410" t="str">
        <f>'12.lan'!D372</f>
        <v>CHE Schweiz (Confoederatio Helvetica)</v>
      </c>
      <c r="B55" s="410" t="s">
        <v>315</v>
      </c>
      <c r="C55" s="413">
        <f>VLOOKUP(B55,'12.ppp data'!$C$3:$J$273,7,FALSE)</f>
        <v>0.9153882839101658</v>
      </c>
      <c r="D55" s="413" t="str">
        <f>IF(VLOOKUP(B55,'12.ppp data'!$C$3:$J$273,8,FALSE)="est","est","-")</f>
        <v>-</v>
      </c>
      <c r="E55" s="410" t="s">
        <v>254</v>
      </c>
      <c r="F55" s="413">
        <v>2</v>
      </c>
      <c r="G55" s="413" t="s">
        <v>244</v>
      </c>
      <c r="H55" s="365"/>
      <c r="J55" s="410" t="s">
        <v>316</v>
      </c>
    </row>
    <row r="56" spans="1:10" ht="9.75" customHeight="1">
      <c r="A56" s="410" t="str">
        <f>'12.lan'!D373</f>
        <v>CHL Chile</v>
      </c>
      <c r="B56" s="410" t="s">
        <v>317</v>
      </c>
      <c r="C56" s="413">
        <f>VLOOKUP(B56,'12.ppp data'!$C$3:$J$273,7,FALSE)</f>
        <v>1.7644244813964496</v>
      </c>
      <c r="D56" s="413" t="str">
        <f>IF(VLOOKUP(B56,'12.ppp data'!$C$3:$J$273,8,FALSE)="est","est","-")</f>
        <v>-</v>
      </c>
      <c r="E56" s="410" t="s">
        <v>245</v>
      </c>
      <c r="F56" s="413">
        <v>3</v>
      </c>
      <c r="G56" s="413"/>
      <c r="H56" s="365"/>
      <c r="J56" s="410" t="s">
        <v>318</v>
      </c>
    </row>
    <row r="57" spans="1:10" ht="9.75" customHeight="1">
      <c r="A57" s="410" t="str">
        <f>'12.lan'!D374</f>
        <v>CHN China, Volksrepublik</v>
      </c>
      <c r="B57" s="410" t="s">
        <v>319</v>
      </c>
      <c r="C57" s="413">
        <f>VLOOKUP(B57,'12.ppp data'!$C$3:$J$273,7,FALSE)</f>
        <v>2.1503797961670617</v>
      </c>
      <c r="D57" s="413" t="str">
        <f>IF(VLOOKUP(B57,'12.ppp data'!$C$3:$J$273,8,FALSE)="est","est","-")</f>
        <v>-</v>
      </c>
      <c r="E57" s="410" t="s">
        <v>248</v>
      </c>
      <c r="F57" s="413">
        <v>5</v>
      </c>
      <c r="G57" s="413"/>
      <c r="H57" s="365"/>
      <c r="J57" s="410" t="s">
        <v>320</v>
      </c>
    </row>
    <row r="58" spans="1:10" ht="9.75" customHeight="1">
      <c r="A58" s="410" t="str">
        <f>'12.lan'!D375</f>
        <v>CIV Côte d’Ivoire (Elfenbeinküste)</v>
      </c>
      <c r="B58" s="410" t="s">
        <v>321</v>
      </c>
      <c r="C58" s="413">
        <f>VLOOKUP(B58,'12.ppp data'!$C$3:$J$273,7,FALSE)</f>
        <v>2.6835891443138244</v>
      </c>
      <c r="D58" s="413" t="str">
        <f>IF(VLOOKUP(B58,'12.ppp data'!$C$3:$J$273,8,FALSE)="est","est","-")</f>
        <v>-</v>
      </c>
      <c r="E58" s="410" t="s">
        <v>251</v>
      </c>
      <c r="F58" s="413">
        <v>5</v>
      </c>
      <c r="G58" s="413"/>
      <c r="H58" s="365"/>
      <c r="J58" s="410" t="s">
        <v>322</v>
      </c>
    </row>
    <row r="59" spans="1:10" ht="9.75" customHeight="1">
      <c r="A59" s="410" t="str">
        <f>'12.lan'!D376</f>
        <v>CMR Kamerun</v>
      </c>
      <c r="B59" s="410" t="s">
        <v>323</v>
      </c>
      <c r="C59" s="413">
        <f>VLOOKUP(B59,'12.ppp data'!$C$3:$J$273,7,FALSE)</f>
        <v>2.8832386484879957</v>
      </c>
      <c r="D59" s="413" t="str">
        <f>IF(VLOOKUP(B59,'12.ppp data'!$C$3:$J$273,8,FALSE)="est","est","-")</f>
        <v>-</v>
      </c>
      <c r="E59" s="410" t="s">
        <v>251</v>
      </c>
      <c r="F59" s="413">
        <v>2</v>
      </c>
      <c r="G59" s="413"/>
      <c r="H59" s="365"/>
      <c r="J59" s="410" t="s">
        <v>324</v>
      </c>
    </row>
    <row r="60" spans="1:10" ht="9.75" customHeight="1">
      <c r="A60" s="410" t="str">
        <f>'12.lan'!D377</f>
        <v>COD Kongo, Demokratische Republik (ehem. Zaire)</v>
      </c>
      <c r="B60" s="410" t="s">
        <v>325</v>
      </c>
      <c r="C60" s="413">
        <f>VLOOKUP(B60,'12.ppp data'!$C$3:$J$273,7,FALSE)</f>
        <v>2.1299392810512296</v>
      </c>
      <c r="D60" s="413" t="str">
        <f>IF(VLOOKUP(B60,'12.ppp data'!$C$3:$J$273,8,FALSE)="est","est","-")</f>
        <v>-</v>
      </c>
      <c r="E60" s="410" t="s">
        <v>251</v>
      </c>
      <c r="F60" s="413">
        <v>4</v>
      </c>
      <c r="G60" s="413"/>
      <c r="H60" s="365"/>
      <c r="J60" s="410" t="s">
        <v>326</v>
      </c>
    </row>
    <row r="61" spans="1:10" ht="9.75" customHeight="1">
      <c r="A61" s="410" t="str">
        <f>'12.lan'!D378</f>
        <v>COG Republik Kongo</v>
      </c>
      <c r="B61" s="410" t="s">
        <v>327</v>
      </c>
      <c r="C61" s="413">
        <f>VLOOKUP(B61,'12.ppp data'!$C$3:$J$273,7,FALSE)</f>
        <v>3.6495000244034985</v>
      </c>
      <c r="D61" s="413" t="str">
        <f>IF(VLOOKUP(B61,'12.ppp data'!$C$3:$J$273,8,FALSE)="est","est","-")</f>
        <v>-</v>
      </c>
      <c r="E61" s="410" t="s">
        <v>251</v>
      </c>
      <c r="F61" s="413">
        <v>3</v>
      </c>
      <c r="G61" s="413"/>
      <c r="H61" s="365"/>
      <c r="J61" s="410" t="s">
        <v>328</v>
      </c>
    </row>
    <row r="62" spans="1:10" ht="9.75" customHeight="1">
      <c r="A62" s="410" t="str">
        <f>'12.lan'!D379</f>
        <v>COL Kolumbien</v>
      </c>
      <c r="B62" s="410" t="s">
        <v>329</v>
      </c>
      <c r="C62" s="413">
        <f>VLOOKUP(B62,'12.ppp data'!$C$3:$J$273,7,FALSE)</f>
        <v>2.5998967962865138</v>
      </c>
      <c r="D62" s="413" t="str">
        <f>IF(VLOOKUP(B62,'12.ppp data'!$C$3:$J$273,8,FALSE)="est","est","-")</f>
        <v>-</v>
      </c>
      <c r="E62" s="410" t="s">
        <v>245</v>
      </c>
      <c r="F62" s="413">
        <v>5</v>
      </c>
      <c r="G62" s="413"/>
      <c r="H62" s="365"/>
      <c r="J62" s="410" t="s">
        <v>330</v>
      </c>
    </row>
    <row r="63" spans="1:10" ht="9.75" customHeight="1">
      <c r="A63" s="410" t="str">
        <f>'12.lan'!D380</f>
        <v>COM Komoren</v>
      </c>
      <c r="B63" s="410" t="s">
        <v>331</v>
      </c>
      <c r="C63" s="413">
        <f>VLOOKUP(B63,'12.ppp data'!$C$3:$J$273,7,FALSE)</f>
        <v>2.1983905043497955</v>
      </c>
      <c r="D63" s="413" t="str">
        <f>IF(VLOOKUP(B63,'12.ppp data'!$C$3:$J$273,8,FALSE)="est","est","-")</f>
        <v>-</v>
      </c>
      <c r="E63" s="410" t="s">
        <v>251</v>
      </c>
      <c r="F63" s="413">
        <v>3.7083333333333335</v>
      </c>
      <c r="G63" s="413" t="s">
        <v>244</v>
      </c>
      <c r="H63" s="365"/>
      <c r="J63" s="410" t="s">
        <v>332</v>
      </c>
    </row>
    <row r="64" spans="1:10" ht="9.75" customHeight="1">
      <c r="A64" s="410" t="str">
        <f>'12.lan'!D381</f>
        <v>CPV Kap Verde</v>
      </c>
      <c r="B64" s="410" t="s">
        <v>333</v>
      </c>
      <c r="C64" s="413">
        <f>VLOOKUP(B64,'12.ppp data'!$C$3:$J$273,7,FALSE)</f>
        <v>2.4021914075297448</v>
      </c>
      <c r="D64" s="413" t="str">
        <f>IF(VLOOKUP(B64,'12.ppp data'!$C$3:$J$273,8,FALSE)="est","est","-")</f>
        <v>-</v>
      </c>
      <c r="E64" s="410" t="s">
        <v>251</v>
      </c>
      <c r="F64" s="413">
        <v>3.7083333333333335</v>
      </c>
      <c r="G64" s="413" t="s">
        <v>244</v>
      </c>
      <c r="H64" s="365"/>
      <c r="J64" s="410" t="s">
        <v>334</v>
      </c>
    </row>
    <row r="65" spans="1:10" ht="9.75" customHeight="1">
      <c r="A65" s="410" t="str">
        <f>'12.lan'!D382</f>
        <v>CRI Costa Rica</v>
      </c>
      <c r="B65" s="410" t="s">
        <v>335</v>
      </c>
      <c r="C65" s="413">
        <f>VLOOKUP(B65,'12.ppp data'!$C$3:$J$273,7,FALSE)</f>
        <v>1.6011243751791864</v>
      </c>
      <c r="D65" s="413" t="str">
        <f>IF(VLOOKUP(B65,'12.ppp data'!$C$3:$J$273,8,FALSE)="est","est","-")</f>
        <v>-</v>
      </c>
      <c r="E65" s="410" t="s">
        <v>245</v>
      </c>
      <c r="F65" s="413">
        <v>3</v>
      </c>
      <c r="G65" s="413"/>
      <c r="H65" s="365"/>
      <c r="J65" s="410" t="s">
        <v>336</v>
      </c>
    </row>
    <row r="66" spans="1:10" ht="9.75" customHeight="1">
      <c r="A66" s="410" t="str">
        <f>'12.lan'!D383</f>
        <v>CUB Kuba</v>
      </c>
      <c r="B66" s="410" t="s">
        <v>337</v>
      </c>
      <c r="C66" s="413">
        <f>VLOOKUP(B66,'12.ppp data'!$C$3:$J$273,7,FALSE)</f>
        <v>1.9628994497935313</v>
      </c>
      <c r="D66" s="413" t="str">
        <f>IF(VLOOKUP(B66,'12.ppp data'!$C$3:$J$273,8,FALSE)="est","est","-")</f>
        <v>est</v>
      </c>
      <c r="E66" s="410" t="s">
        <v>245</v>
      </c>
      <c r="F66" s="413">
        <v>3.4210526315789473</v>
      </c>
      <c r="G66" s="413" t="s">
        <v>244</v>
      </c>
      <c r="H66" s="365"/>
      <c r="J66" s="410" t="s">
        <v>338</v>
      </c>
    </row>
    <row r="67" spans="1:10" ht="9.75" customHeight="1">
      <c r="A67" s="410" t="str">
        <f>'12.lan'!D384</f>
        <v>CUW Curaçao</v>
      </c>
      <c r="B67" s="410" t="s">
        <v>339</v>
      </c>
      <c r="C67" s="413">
        <f>VLOOKUP(B67,'12.ppp data'!$C$3:$J$273,7,FALSE)</f>
        <v>1.9628994497935313</v>
      </c>
      <c r="D67" s="413" t="str">
        <f>IF(VLOOKUP(B67,'12.ppp data'!$C$3:$J$273,8,FALSE)="est","est","-")</f>
        <v>est</v>
      </c>
      <c r="E67" s="410" t="s">
        <v>245</v>
      </c>
      <c r="F67" s="413">
        <v>3.4210526315789473</v>
      </c>
      <c r="G67" s="413" t="s">
        <v>244</v>
      </c>
      <c r="H67" s="365"/>
      <c r="J67" s="410" t="s">
        <v>340</v>
      </c>
    </row>
    <row r="68" spans="1:10" ht="9.75" customHeight="1">
      <c r="A68" s="410" t="str">
        <f>'12.lan'!D385</f>
        <v>CYM Kaimaninseln</v>
      </c>
      <c r="B68" s="410" t="s">
        <v>341</v>
      </c>
      <c r="C68" s="413">
        <f>VLOOKUP(B68,'12.ppp data'!$C$3:$J$273,7,FALSE)</f>
        <v>1.9628994497935313</v>
      </c>
      <c r="D68" s="413" t="str">
        <f>IF(VLOOKUP(B68,'12.ppp data'!$C$3:$J$273,8,FALSE)="est","est","-")</f>
        <v>est</v>
      </c>
      <c r="E68" s="410" t="s">
        <v>245</v>
      </c>
      <c r="F68" s="413">
        <v>3.4210526315789473</v>
      </c>
      <c r="G68" s="413" t="s">
        <v>244</v>
      </c>
      <c r="H68" s="365"/>
      <c r="J68" s="410" t="s">
        <v>342</v>
      </c>
    </row>
    <row r="69" spans="1:10" ht="9.75" customHeight="1">
      <c r="A69" s="410" t="str">
        <f>'12.lan'!D386</f>
        <v>CYP Zypern</v>
      </c>
      <c r="B69" s="410" t="s">
        <v>343</v>
      </c>
      <c r="C69" s="413">
        <f>VLOOKUP(B69,'12.ppp data'!$C$3:$J$273,7,FALSE)</f>
        <v>1.5408651717757238</v>
      </c>
      <c r="D69" s="413" t="str">
        <f>IF(VLOOKUP(B69,'12.ppp data'!$C$3:$J$273,8,FALSE)="est","est","-")</f>
        <v>-</v>
      </c>
      <c r="E69" s="410" t="s">
        <v>248</v>
      </c>
      <c r="F69" s="413">
        <v>4.1785714285714288</v>
      </c>
      <c r="G69" s="413" t="s">
        <v>244</v>
      </c>
      <c r="H69" s="365"/>
      <c r="J69" s="410" t="s">
        <v>344</v>
      </c>
    </row>
    <row r="70" spans="1:10" ht="9.75" customHeight="1">
      <c r="A70" s="410" t="str">
        <f>'12.lan'!D387</f>
        <v>CZE Tschechische Republik</v>
      </c>
      <c r="B70" s="410" t="s">
        <v>345</v>
      </c>
      <c r="C70" s="413">
        <f>VLOOKUP(B70,'12.ppp data'!$C$3:$J$273,7,FALSE)</f>
        <v>2.0458749282975601</v>
      </c>
      <c r="D70" s="413" t="str">
        <f>IF(VLOOKUP(B70,'12.ppp data'!$C$3:$J$273,8,FALSE)="est","est","-")</f>
        <v>-</v>
      </c>
      <c r="E70" s="410" t="s">
        <v>254</v>
      </c>
      <c r="F70" s="413">
        <v>2</v>
      </c>
      <c r="G70" s="413"/>
      <c r="H70" s="365"/>
      <c r="J70" s="410" t="s">
        <v>346</v>
      </c>
    </row>
    <row r="71" spans="1:10" ht="9.75" customHeight="1">
      <c r="A71" s="410" t="str">
        <f>'12.lan'!D388</f>
        <v>DEU Deutschland</v>
      </c>
      <c r="B71" s="410" t="s">
        <v>347</v>
      </c>
      <c r="C71" s="413">
        <f>VLOOKUP(B71,'12.ppp data'!$C$3:$J$273,7,FALSE)</f>
        <v>1.2851587299547367</v>
      </c>
      <c r="D71" s="413" t="str">
        <f>IF(VLOOKUP(B71,'12.ppp data'!$C$3:$J$273,8,FALSE)="est","est","-")</f>
        <v>-</v>
      </c>
      <c r="E71" s="410" t="s">
        <v>254</v>
      </c>
      <c r="F71" s="413">
        <v>1</v>
      </c>
      <c r="G71" s="413"/>
      <c r="H71" s="365"/>
      <c r="J71" s="410" t="s">
        <v>348</v>
      </c>
    </row>
    <row r="72" spans="1:10" ht="9.75" customHeight="1">
      <c r="A72" s="410" t="str">
        <f>'12.lan'!D389</f>
        <v>DJI Dschibuti</v>
      </c>
      <c r="B72" s="410" t="s">
        <v>349</v>
      </c>
      <c r="C72" s="413">
        <f>VLOOKUP(B72,'12.ppp data'!$C$3:$J$273,7,FALSE)</f>
        <v>3.0325616327831186</v>
      </c>
      <c r="D72" s="413" t="str">
        <f>IF(VLOOKUP(B72,'12.ppp data'!$C$3:$J$273,8,FALSE)="est","est","-")</f>
        <v>est</v>
      </c>
      <c r="E72" s="410" t="s">
        <v>251</v>
      </c>
      <c r="F72" s="413">
        <v>3.7083333333333335</v>
      </c>
      <c r="G72" s="413" t="s">
        <v>244</v>
      </c>
      <c r="H72" s="365"/>
      <c r="J72" s="410" t="s">
        <v>350</v>
      </c>
    </row>
    <row r="73" spans="1:10" ht="9.75" customHeight="1">
      <c r="A73" s="410" t="str">
        <f>'12.lan'!D390</f>
        <v>DMA Dominica</v>
      </c>
      <c r="B73" s="410" t="s">
        <v>351</v>
      </c>
      <c r="C73" s="413">
        <f>VLOOKUP(B73,'12.ppp data'!$C$3:$J$273,7,FALSE)</f>
        <v>1.5763123538056831</v>
      </c>
      <c r="D73" s="413" t="str">
        <f>IF(VLOOKUP(B73,'12.ppp data'!$C$3:$J$273,8,FALSE)="est","est","-")</f>
        <v>-</v>
      </c>
      <c r="E73" s="410" t="s">
        <v>245</v>
      </c>
      <c r="F73" s="413">
        <v>3.4210526315789473</v>
      </c>
      <c r="G73" s="413" t="s">
        <v>244</v>
      </c>
      <c r="H73" s="365"/>
      <c r="J73" s="410" t="s">
        <v>352</v>
      </c>
    </row>
    <row r="74" spans="1:10" ht="9.75" customHeight="1">
      <c r="A74" s="410" t="str">
        <f>'12.lan'!D391</f>
        <v>DNK Dänemark</v>
      </c>
      <c r="B74" s="410" t="s">
        <v>353</v>
      </c>
      <c r="C74" s="413">
        <f>VLOOKUP(B74,'12.ppp data'!$C$3:$J$273,7,FALSE)</f>
        <v>1.0129644494868468</v>
      </c>
      <c r="D74" s="413" t="str">
        <f>IF(VLOOKUP(B74,'12.ppp data'!$C$3:$J$273,8,FALSE)="est","est","-")</f>
        <v>-</v>
      </c>
      <c r="E74" s="410" t="s">
        <v>254</v>
      </c>
      <c r="F74" s="413">
        <v>1</v>
      </c>
      <c r="G74" s="413"/>
      <c r="H74" s="365"/>
      <c r="J74" s="410" t="s">
        <v>354</v>
      </c>
    </row>
    <row r="75" spans="1:10" ht="9.75" customHeight="1">
      <c r="A75" s="410" t="str">
        <f>'12.lan'!D392</f>
        <v>DOM Dominikanische Republik</v>
      </c>
      <c r="B75" s="410" t="s">
        <v>355</v>
      </c>
      <c r="C75" s="413">
        <f>VLOOKUP(B75,'12.ppp data'!$C$3:$J$273,7,FALSE)</f>
        <v>2.5270944944526477</v>
      </c>
      <c r="D75" s="413" t="str">
        <f>IF(VLOOKUP(B75,'12.ppp data'!$C$3:$J$273,8,FALSE)="est","est","-")</f>
        <v>-</v>
      </c>
      <c r="E75" s="410" t="s">
        <v>245</v>
      </c>
      <c r="F75" s="413">
        <v>2</v>
      </c>
      <c r="G75" s="413"/>
      <c r="H75" s="365"/>
      <c r="J75" s="410" t="s">
        <v>356</v>
      </c>
    </row>
    <row r="76" spans="1:10" ht="9.75" customHeight="1">
      <c r="A76" s="410" t="str">
        <f>'12.lan'!D393</f>
        <v>DZA Algerien</v>
      </c>
      <c r="B76" s="410" t="s">
        <v>357</v>
      </c>
      <c r="C76" s="413">
        <f>VLOOKUP(B76,'12.ppp data'!$C$3:$J$273,7,FALSE)</f>
        <v>4.1642622848338151</v>
      </c>
      <c r="D76" s="413" t="str">
        <f>IF(VLOOKUP(B76,'12.ppp data'!$C$3:$J$273,8,FALSE)="est","est","-")</f>
        <v>-</v>
      </c>
      <c r="E76" s="410" t="s">
        <v>251</v>
      </c>
      <c r="F76" s="413">
        <v>5</v>
      </c>
      <c r="G76" s="413"/>
      <c r="H76" s="365"/>
      <c r="J76" s="410" t="s">
        <v>358</v>
      </c>
    </row>
    <row r="77" spans="1:10" ht="9.75" customHeight="1">
      <c r="A77" s="410" t="str">
        <f>'12.lan'!D394</f>
        <v>ECU Ecuador</v>
      </c>
      <c r="B77" s="410" t="s">
        <v>359</v>
      </c>
      <c r="C77" s="413">
        <f>VLOOKUP(B77,'12.ppp data'!$C$3:$J$273,7,FALSE)</f>
        <v>2.1167738700762175</v>
      </c>
      <c r="D77" s="413" t="str">
        <f>IF(VLOOKUP(B77,'12.ppp data'!$C$3:$J$273,8,FALSE)="est","est","-")</f>
        <v>-</v>
      </c>
      <c r="E77" s="410" t="s">
        <v>245</v>
      </c>
      <c r="F77" s="413">
        <v>3</v>
      </c>
      <c r="G77" s="413"/>
      <c r="H77" s="365"/>
      <c r="J77" s="410" t="s">
        <v>360</v>
      </c>
    </row>
    <row r="78" spans="1:10" ht="9.75" customHeight="1">
      <c r="A78" s="410" t="str">
        <f>'12.lan'!D395</f>
        <v>EGY Ägypten</v>
      </c>
      <c r="B78" s="410" t="s">
        <v>361</v>
      </c>
      <c r="C78" s="413">
        <f>VLOOKUP(B78,'12.ppp data'!$C$3:$J$273,7,FALSE)</f>
        <v>6.5517395198485584</v>
      </c>
      <c r="D78" s="413" t="str">
        <f>IF(VLOOKUP(B78,'12.ppp data'!$C$3:$J$273,8,FALSE)="est","est","-")</f>
        <v>-</v>
      </c>
      <c r="E78" s="410" t="s">
        <v>251</v>
      </c>
      <c r="F78" s="413">
        <v>5</v>
      </c>
      <c r="G78" s="413"/>
      <c r="H78" s="365"/>
      <c r="J78" s="410" t="s">
        <v>362</v>
      </c>
    </row>
    <row r="79" spans="1:10" ht="9.75" customHeight="1">
      <c r="A79" s="410" t="str">
        <f>'12.lan'!D396</f>
        <v>ERI Eritrea</v>
      </c>
      <c r="B79" s="410" t="s">
        <v>363</v>
      </c>
      <c r="C79" s="413">
        <f>VLOOKUP(B79,'12.ppp data'!$C$3:$J$273,7,FALSE)</f>
        <v>3.0325616327831186</v>
      </c>
      <c r="D79" s="413" t="str">
        <f>IF(VLOOKUP(B79,'12.ppp data'!$C$3:$J$273,8,FALSE)="est","est","-")</f>
        <v>est</v>
      </c>
      <c r="E79" s="410" t="s">
        <v>251</v>
      </c>
      <c r="F79" s="413">
        <v>3.7083333333333335</v>
      </c>
      <c r="G79" s="413" t="s">
        <v>244</v>
      </c>
      <c r="H79" s="365"/>
      <c r="J79" s="410" t="s">
        <v>364</v>
      </c>
    </row>
    <row r="80" spans="1:10" ht="9.75" customHeight="1">
      <c r="A80" s="410" t="str">
        <f>'12.lan'!D397</f>
        <v>ESP Spanien</v>
      </c>
      <c r="B80" s="410" t="s">
        <v>365</v>
      </c>
      <c r="C80" s="413">
        <f>VLOOKUP(B80,'12.ppp data'!$C$3:$J$273,7,FALSE)</f>
        <v>1.5244739040557105</v>
      </c>
      <c r="D80" s="413" t="str">
        <f>IF(VLOOKUP(B80,'12.ppp data'!$C$3:$J$273,8,FALSE)="est","est","-")</f>
        <v>-</v>
      </c>
      <c r="E80" s="410" t="s">
        <v>254</v>
      </c>
      <c r="F80" s="413">
        <v>2</v>
      </c>
      <c r="G80" s="413"/>
      <c r="H80" s="365"/>
      <c r="J80" s="410" t="s">
        <v>366</v>
      </c>
    </row>
    <row r="81" spans="1:10" ht="9.75" customHeight="1">
      <c r="A81" s="410" t="str">
        <f>'12.lan'!D398</f>
        <v>EST Estland</v>
      </c>
      <c r="B81" s="410" t="s">
        <v>367</v>
      </c>
      <c r="C81" s="413">
        <f>VLOOKUP(B81,'12.ppp data'!$C$3:$J$273,7,FALSE)</f>
        <v>1.8093292635487097</v>
      </c>
      <c r="D81" s="413" t="str">
        <f>IF(VLOOKUP(B81,'12.ppp data'!$C$3:$J$273,8,FALSE)="est","est","-")</f>
        <v>-</v>
      </c>
      <c r="E81" s="410" t="s">
        <v>254</v>
      </c>
      <c r="F81" s="413">
        <v>1</v>
      </c>
      <c r="G81" s="413"/>
      <c r="H81" s="365"/>
      <c r="J81" s="410" t="s">
        <v>368</v>
      </c>
    </row>
    <row r="82" spans="1:10" ht="9.75" customHeight="1">
      <c r="A82" s="410" t="str">
        <f>'12.lan'!D399</f>
        <v>ETH Äthiopien</v>
      </c>
      <c r="B82" s="410" t="s">
        <v>369</v>
      </c>
      <c r="C82" s="413">
        <f>VLOOKUP(B82,'12.ppp data'!$C$3:$J$273,7,FALSE)</f>
        <v>2.9561559727359685</v>
      </c>
      <c r="D82" s="413" t="str">
        <f>IF(VLOOKUP(B82,'12.ppp data'!$C$3:$J$273,8,FALSE)="est","est","-")</f>
        <v>-</v>
      </c>
      <c r="E82" s="410" t="s">
        <v>251</v>
      </c>
      <c r="F82" s="413">
        <v>3</v>
      </c>
      <c r="G82" s="413"/>
      <c r="H82" s="365"/>
      <c r="J82" s="410" t="s">
        <v>370</v>
      </c>
    </row>
    <row r="83" spans="1:10" ht="9.75" customHeight="1">
      <c r="A83" s="410" t="str">
        <f>'12.lan'!D400</f>
        <v>FIN Finnland</v>
      </c>
      <c r="B83" s="410" t="s">
        <v>371</v>
      </c>
      <c r="C83" s="413">
        <f>VLOOKUP(B83,'12.ppp data'!$C$3:$J$273,7,FALSE)</f>
        <v>1.1142731707534492</v>
      </c>
      <c r="D83" s="413" t="str">
        <f>IF(VLOOKUP(B83,'12.ppp data'!$C$3:$J$273,8,FALSE)="est","est","-")</f>
        <v>-</v>
      </c>
      <c r="E83" s="410" t="s">
        <v>254</v>
      </c>
      <c r="F83" s="413">
        <v>1</v>
      </c>
      <c r="G83" s="413"/>
      <c r="H83" s="365"/>
      <c r="J83" s="410" t="s">
        <v>372</v>
      </c>
    </row>
    <row r="84" spans="1:10" ht="9.75" customHeight="1">
      <c r="A84" s="410" t="str">
        <f>'12.lan'!D401</f>
        <v>FJI Fidschi</v>
      </c>
      <c r="B84" s="410" t="s">
        <v>373</v>
      </c>
      <c r="C84" s="413">
        <f>VLOOKUP(B84,'12.ppp data'!$C$3:$J$273,7,FALSE)</f>
        <v>1.9119851455613843</v>
      </c>
      <c r="D84" s="413" t="str">
        <f>IF(VLOOKUP(B84,'12.ppp data'!$C$3:$J$273,8,FALSE)="est","est","-")</f>
        <v>-</v>
      </c>
      <c r="E84" s="410" t="s">
        <v>265</v>
      </c>
      <c r="F84" s="413">
        <v>3</v>
      </c>
      <c r="G84" s="413" t="s">
        <v>244</v>
      </c>
      <c r="H84" s="365"/>
      <c r="J84" s="410" t="s">
        <v>374</v>
      </c>
    </row>
    <row r="85" spans="1:10" ht="9.75" customHeight="1">
      <c r="A85" s="410" t="str">
        <f>'12.lan'!D402</f>
        <v>FRA Frankreich</v>
      </c>
      <c r="B85" s="410" t="s">
        <v>375</v>
      </c>
      <c r="C85" s="413">
        <f>VLOOKUP(B85,'12.ppp data'!$C$3:$J$273,7,FALSE)</f>
        <v>1.2528941855686637</v>
      </c>
      <c r="D85" s="413" t="str">
        <f>IF(VLOOKUP(B85,'12.ppp data'!$C$3:$J$273,8,FALSE)="est","est","-")</f>
        <v>-</v>
      </c>
      <c r="E85" s="410" t="s">
        <v>254</v>
      </c>
      <c r="F85" s="413">
        <v>1</v>
      </c>
      <c r="G85" s="413"/>
      <c r="H85" s="365"/>
      <c r="J85" s="410" t="s">
        <v>376</v>
      </c>
    </row>
    <row r="86" spans="1:10" ht="9.75" customHeight="1">
      <c r="A86" s="410" t="str">
        <f>'12.lan'!D403</f>
        <v>FRO Färöer</v>
      </c>
      <c r="B86" s="410" t="s">
        <v>377</v>
      </c>
      <c r="C86" s="413">
        <f>VLOOKUP(B86,'12.ppp data'!$C$3:$J$273,7,FALSE)</f>
        <v>1.9328616451977572</v>
      </c>
      <c r="D86" s="413" t="str">
        <f>IF(VLOOKUP(B86,'12.ppp data'!$C$3:$J$273,8,FALSE)="est","est","-")</f>
        <v>est</v>
      </c>
      <c r="E86" s="410" t="s">
        <v>254</v>
      </c>
      <c r="F86" s="413">
        <v>2</v>
      </c>
      <c r="G86" s="413" t="s">
        <v>244</v>
      </c>
      <c r="H86" s="365"/>
      <c r="J86" s="410" t="s">
        <v>378</v>
      </c>
    </row>
    <row r="87" spans="1:10" ht="9.75" customHeight="1">
      <c r="A87" s="410" t="str">
        <f>'12.lan'!D404</f>
        <v>FSM Mikronesien</v>
      </c>
      <c r="B87" s="410" t="s">
        <v>379</v>
      </c>
      <c r="C87" s="413">
        <f>VLOOKUP(B87,'12.ppp data'!$C$3:$J$273,7,FALSE)</f>
        <v>1.2835496050163311</v>
      </c>
      <c r="D87" s="413" t="str">
        <f>IF(VLOOKUP(B87,'12.ppp data'!$C$3:$J$273,8,FALSE)="est","est","-")</f>
        <v>-</v>
      </c>
      <c r="E87" s="410" t="s">
        <v>265</v>
      </c>
      <c r="F87" s="413">
        <v>3</v>
      </c>
      <c r="G87" s="413" t="s">
        <v>244</v>
      </c>
      <c r="H87" s="365"/>
      <c r="J87" s="410" t="s">
        <v>380</v>
      </c>
    </row>
    <row r="88" spans="1:10" ht="9.75" customHeight="1">
      <c r="A88" s="410" t="str">
        <f>'12.lan'!D405</f>
        <v>GAB Gabun</v>
      </c>
      <c r="B88" s="410" t="s">
        <v>381</v>
      </c>
      <c r="C88" s="413">
        <f>VLOOKUP(B88,'12.ppp data'!$C$3:$J$273,7,FALSE)</f>
        <v>2.843344628252908</v>
      </c>
      <c r="D88" s="413" t="str">
        <f>IF(VLOOKUP(B88,'12.ppp data'!$C$3:$J$273,8,FALSE)="est","est","-")</f>
        <v>-</v>
      </c>
      <c r="E88" s="410" t="s">
        <v>251</v>
      </c>
      <c r="F88" s="413">
        <v>3.7083333333333335</v>
      </c>
      <c r="G88" s="413" t="s">
        <v>244</v>
      </c>
      <c r="H88" s="365"/>
      <c r="J88" s="410" t="s">
        <v>382</v>
      </c>
    </row>
    <row r="89" spans="1:10" ht="9.75" customHeight="1">
      <c r="A89" s="410" t="str">
        <f>'12.lan'!D406</f>
        <v>GBR Vereinigtes Königreich Großbritannien und Nordirland</v>
      </c>
      <c r="B89" s="410" t="s">
        <v>383</v>
      </c>
      <c r="C89" s="413">
        <f>VLOOKUP(B89,'12.ppp data'!$C$3:$J$273,7,FALSE)</f>
        <v>1.2471403241674037</v>
      </c>
      <c r="D89" s="413" t="str">
        <f>IF(VLOOKUP(B89,'12.ppp data'!$C$3:$J$273,8,FALSE)="est","est","-")</f>
        <v>-</v>
      </c>
      <c r="E89" s="410" t="s">
        <v>254</v>
      </c>
      <c r="F89" s="413">
        <v>3</v>
      </c>
      <c r="G89" s="413"/>
      <c r="H89" s="365"/>
      <c r="J89" s="410" t="s">
        <v>384</v>
      </c>
    </row>
    <row r="90" spans="1:10" ht="9.75" customHeight="1">
      <c r="A90" s="410" t="str">
        <f>'12.lan'!D407</f>
        <v>GEO Georgien</v>
      </c>
      <c r="B90" s="410" t="s">
        <v>385</v>
      </c>
      <c r="C90" s="413">
        <f>VLOOKUP(B90,'12.ppp data'!$C$3:$J$273,7,FALSE)</f>
        <v>2.9423586688331254</v>
      </c>
      <c r="D90" s="413" t="str">
        <f>IF(VLOOKUP(B90,'12.ppp data'!$C$3:$J$273,8,FALSE)="est","est","-")</f>
        <v>-</v>
      </c>
      <c r="E90" s="410" t="s">
        <v>248</v>
      </c>
      <c r="F90" s="413">
        <v>3</v>
      </c>
      <c r="G90" s="413"/>
      <c r="H90" s="365"/>
      <c r="J90" s="410" t="s">
        <v>386</v>
      </c>
    </row>
    <row r="91" spans="1:10" ht="9.75" customHeight="1">
      <c r="A91" s="410" t="str">
        <f>'12.lan'!D408</f>
        <v>GHA Ghana</v>
      </c>
      <c r="B91" s="410" t="s">
        <v>387</v>
      </c>
      <c r="C91" s="413">
        <f>VLOOKUP(B91,'12.ppp data'!$C$3:$J$273,7,FALSE)</f>
        <v>3.2149076522948876</v>
      </c>
      <c r="D91" s="413" t="str">
        <f>IF(VLOOKUP(B91,'12.ppp data'!$C$3:$J$273,8,FALSE)="est","est","-")</f>
        <v>-</v>
      </c>
      <c r="E91" s="410" t="s">
        <v>251</v>
      </c>
      <c r="F91" s="413">
        <v>3</v>
      </c>
      <c r="G91" s="413"/>
      <c r="H91" s="365"/>
      <c r="J91" s="410" t="s">
        <v>388</v>
      </c>
    </row>
    <row r="92" spans="1:10" ht="9.75" customHeight="1">
      <c r="A92" s="410" t="str">
        <f>'12.lan'!D409</f>
        <v>GIB Gibraltar</v>
      </c>
      <c r="B92" s="410" t="s">
        <v>389</v>
      </c>
      <c r="C92" s="413">
        <f>VLOOKUP(B92,'12.ppp data'!$C$3:$J$273,7,FALSE)</f>
        <v>1.9328616451977572</v>
      </c>
      <c r="D92" s="413" t="str">
        <f>IF(VLOOKUP(B92,'12.ppp data'!$C$3:$J$273,8,FALSE)="est","est","-")</f>
        <v>est</v>
      </c>
      <c r="E92" s="410" t="s">
        <v>254</v>
      </c>
      <c r="F92" s="413">
        <v>2</v>
      </c>
      <c r="G92" s="413" t="s">
        <v>244</v>
      </c>
      <c r="H92" s="365"/>
      <c r="J92" s="410" t="s">
        <v>390</v>
      </c>
    </row>
    <row r="93" spans="1:10" ht="9.75" customHeight="1">
      <c r="A93" s="410" t="str">
        <f>'12.lan'!D410</f>
        <v>GIN Guinea</v>
      </c>
      <c r="B93" s="410" t="s">
        <v>391</v>
      </c>
      <c r="C93" s="413">
        <f>VLOOKUP(B93,'12.ppp data'!$C$3:$J$273,7,FALSE)</f>
        <v>3.0159220685796839</v>
      </c>
      <c r="D93" s="413" t="str">
        <f>IF(VLOOKUP(B93,'12.ppp data'!$C$3:$J$273,8,FALSE)="est","est","-")</f>
        <v>-</v>
      </c>
      <c r="E93" s="410" t="s">
        <v>251</v>
      </c>
      <c r="F93" s="413">
        <v>3.7083333333333335</v>
      </c>
      <c r="G93" s="413" t="s">
        <v>244</v>
      </c>
      <c r="H93" s="365"/>
      <c r="J93" s="410" t="s">
        <v>392</v>
      </c>
    </row>
    <row r="94" spans="1:10" ht="9.75" customHeight="1">
      <c r="A94" s="410" t="str">
        <f>'12.lan'!D411</f>
        <v>GMB Gambia</v>
      </c>
      <c r="B94" s="410" t="s">
        <v>393</v>
      </c>
      <c r="C94" s="413">
        <f>VLOOKUP(B94,'12.ppp data'!$C$3:$J$273,7,FALSE)</f>
        <v>3.8671758828063174</v>
      </c>
      <c r="D94" s="413" t="str">
        <f>IF(VLOOKUP(B94,'12.ppp data'!$C$3:$J$273,8,FALSE)="est","est","-")</f>
        <v>-</v>
      </c>
      <c r="E94" s="410" t="s">
        <v>251</v>
      </c>
      <c r="F94" s="413">
        <v>3.7083333333333335</v>
      </c>
      <c r="G94" s="413" t="s">
        <v>244</v>
      </c>
      <c r="H94" s="365"/>
      <c r="J94" s="410" t="s">
        <v>394</v>
      </c>
    </row>
    <row r="95" spans="1:10" ht="9.75" customHeight="1">
      <c r="A95" s="410" t="str">
        <f>'12.lan'!D412</f>
        <v>GNB Guinea-Bissau</v>
      </c>
      <c r="B95" s="410" t="s">
        <v>395</v>
      </c>
      <c r="C95" s="413">
        <f>VLOOKUP(B95,'12.ppp data'!$C$3:$J$273,7,FALSE)</f>
        <v>2.6513391296403581</v>
      </c>
      <c r="D95" s="413" t="str">
        <f>IF(VLOOKUP(B95,'12.ppp data'!$C$3:$J$273,8,FALSE)="est","est","-")</f>
        <v>-</v>
      </c>
      <c r="E95" s="410" t="s">
        <v>251</v>
      </c>
      <c r="F95" s="413">
        <v>3.7083333333333335</v>
      </c>
      <c r="G95" s="413" t="s">
        <v>244</v>
      </c>
      <c r="H95" s="365"/>
      <c r="I95" s="416"/>
      <c r="J95" s="410" t="s">
        <v>396</v>
      </c>
    </row>
    <row r="96" spans="1:10" ht="9.75" customHeight="1">
      <c r="A96" s="410" t="str">
        <f>'12.lan'!D413</f>
        <v>GNQ Äquatorialguinea</v>
      </c>
      <c r="B96" s="410" t="s">
        <v>397</v>
      </c>
      <c r="C96" s="413">
        <f>VLOOKUP(B96,'12.ppp data'!$C$3:$J$273,7,FALSE)</f>
        <v>2.8447864045525897</v>
      </c>
      <c r="D96" s="413" t="str">
        <f>IF(VLOOKUP(B96,'12.ppp data'!$C$3:$J$273,8,FALSE)="est","est","-")</f>
        <v>-</v>
      </c>
      <c r="E96" s="410" t="s">
        <v>251</v>
      </c>
      <c r="F96" s="413">
        <v>3.7083333333333335</v>
      </c>
      <c r="G96" s="413" t="s">
        <v>244</v>
      </c>
      <c r="H96" s="365"/>
      <c r="J96" s="410" t="s">
        <v>398</v>
      </c>
    </row>
    <row r="97" spans="1:10" ht="9.75" customHeight="1">
      <c r="A97" s="410" t="str">
        <f>'12.lan'!D414</f>
        <v>GRC Griechenland</v>
      </c>
      <c r="B97" s="410" t="s">
        <v>399</v>
      </c>
      <c r="C97" s="413">
        <f>VLOOKUP(B97,'12.ppp data'!$C$3:$J$273,7,FALSE)</f>
        <v>1.6836320657828721</v>
      </c>
      <c r="D97" s="413" t="str">
        <f>IF(VLOOKUP(B97,'12.ppp data'!$C$3:$J$273,8,FALSE)="est","est","-")</f>
        <v>-</v>
      </c>
      <c r="E97" s="410" t="s">
        <v>254</v>
      </c>
      <c r="F97" s="413">
        <v>5</v>
      </c>
      <c r="G97" s="413"/>
      <c r="H97" s="365"/>
      <c r="J97" s="410" t="s">
        <v>400</v>
      </c>
    </row>
    <row r="98" spans="1:10" ht="9.75" customHeight="1">
      <c r="A98" s="410" t="str">
        <f>'12.lan'!D415</f>
        <v>GRD Grenada</v>
      </c>
      <c r="B98" s="410" t="s">
        <v>401</v>
      </c>
      <c r="C98" s="413">
        <f>VLOOKUP(B98,'12.ppp data'!$C$3:$J$273,7,FALSE)</f>
        <v>1.6245427020829402</v>
      </c>
      <c r="D98" s="413" t="str">
        <f>IF(VLOOKUP(B98,'12.ppp data'!$C$3:$J$273,8,FALSE)="est","est","-")</f>
        <v>-</v>
      </c>
      <c r="E98" s="410" t="s">
        <v>245</v>
      </c>
      <c r="F98" s="413">
        <v>3.4210526315789473</v>
      </c>
      <c r="G98" s="413" t="s">
        <v>244</v>
      </c>
      <c r="H98" s="365"/>
      <c r="J98" s="410" t="s">
        <v>402</v>
      </c>
    </row>
    <row r="99" spans="1:10" ht="9.75" customHeight="1">
      <c r="A99" s="410" t="str">
        <f>'12.lan'!D416</f>
        <v>GRL Grönland</v>
      </c>
      <c r="B99" s="410" t="s">
        <v>403</v>
      </c>
      <c r="C99" s="413">
        <f>VLOOKUP(B99,'12.ppp data'!$C$3:$J$273,7,FALSE)</f>
        <v>1.9628994497935313</v>
      </c>
      <c r="D99" s="413" t="str">
        <f>IF(VLOOKUP(B99,'12.ppp data'!$C$3:$J$273,8,FALSE)="est","est","-")</f>
        <v>est</v>
      </c>
      <c r="E99" s="410" t="s">
        <v>245</v>
      </c>
      <c r="F99" s="413">
        <v>3.4210526315789473</v>
      </c>
      <c r="G99" s="413" t="s">
        <v>244</v>
      </c>
      <c r="H99" s="365"/>
      <c r="J99" s="410" t="s">
        <v>404</v>
      </c>
    </row>
    <row r="100" spans="1:10" ht="9.75" customHeight="1">
      <c r="A100" s="410" t="str">
        <f>'12.lan'!D417</f>
        <v>GTM Guatemala</v>
      </c>
      <c r="B100" s="410" t="s">
        <v>405</v>
      </c>
      <c r="C100" s="413">
        <f>VLOOKUP(B100,'12.ppp data'!$C$3:$J$273,7,FALSE)</f>
        <v>2.0127896231417131</v>
      </c>
      <c r="D100" s="413" t="str">
        <f>IF(VLOOKUP(B100,'12.ppp data'!$C$3:$J$273,8,FALSE)="est","est","-")</f>
        <v>-</v>
      </c>
      <c r="E100" s="410" t="s">
        <v>245</v>
      </c>
      <c r="F100" s="413">
        <v>5</v>
      </c>
      <c r="G100" s="413"/>
      <c r="H100" s="365"/>
      <c r="J100" s="410" t="s">
        <v>406</v>
      </c>
    </row>
    <row r="101" spans="1:10" ht="9.75" customHeight="1">
      <c r="A101" s="410" t="str">
        <f>'12.lan'!D418</f>
        <v>GUM Guam</v>
      </c>
      <c r="B101" s="410" t="s">
        <v>407</v>
      </c>
      <c r="C101" s="413">
        <f>VLOOKUP(B101,'12.ppp data'!$C$3:$J$273,7,FALSE)</f>
        <v>1.3563308370936336</v>
      </c>
      <c r="D101" s="413" t="str">
        <f>IF(VLOOKUP(B101,'12.ppp data'!$C$3:$J$273,8,FALSE)="est","est","-")</f>
        <v>est</v>
      </c>
      <c r="E101" s="410" t="s">
        <v>265</v>
      </c>
      <c r="F101" s="413">
        <v>3</v>
      </c>
      <c r="G101" s="413" t="s">
        <v>244</v>
      </c>
      <c r="H101" s="365"/>
      <c r="J101" s="410" t="s">
        <v>408</v>
      </c>
    </row>
    <row r="102" spans="1:10" ht="9.75" customHeight="1">
      <c r="A102" s="410" t="str">
        <f>'12.lan'!D419</f>
        <v>GUY Guyana</v>
      </c>
      <c r="B102" s="410" t="s">
        <v>409</v>
      </c>
      <c r="C102" s="413">
        <f>VLOOKUP(B102,'12.ppp data'!$C$3:$J$273,7,FALSE)</f>
        <v>1.8783649421609236</v>
      </c>
      <c r="D102" s="413" t="str">
        <f>IF(VLOOKUP(B102,'12.ppp data'!$C$3:$J$273,8,FALSE)="est","est","-")</f>
        <v>-</v>
      </c>
      <c r="E102" s="410" t="s">
        <v>245</v>
      </c>
      <c r="F102" s="413">
        <v>3.4210526315789473</v>
      </c>
      <c r="G102" s="413" t="s">
        <v>244</v>
      </c>
      <c r="H102" s="365"/>
      <c r="J102" s="410" t="s">
        <v>410</v>
      </c>
    </row>
    <row r="103" spans="1:10" ht="9.75" customHeight="1">
      <c r="A103" s="410" t="str">
        <f>'12.lan'!D420</f>
        <v>HKG Hongkong</v>
      </c>
      <c r="B103" s="410" t="s">
        <v>411</v>
      </c>
      <c r="C103" s="413">
        <f>VLOOKUP(B103,'12.ppp data'!$C$3:$J$273,7,FALSE)</f>
        <v>1.5045115274191232</v>
      </c>
      <c r="D103" s="413" t="str">
        <f>IF(VLOOKUP(B103,'12.ppp data'!$C$3:$J$273,8,FALSE)="est","est","-")</f>
        <v>-</v>
      </c>
      <c r="E103" s="410" t="s">
        <v>248</v>
      </c>
      <c r="F103" s="413">
        <v>4</v>
      </c>
      <c r="G103" s="413"/>
      <c r="H103" s="365"/>
      <c r="J103" s="410" t="s">
        <v>412</v>
      </c>
    </row>
    <row r="104" spans="1:10" ht="9.75" customHeight="1">
      <c r="A104" s="410" t="str">
        <f>'12.lan'!D421</f>
        <v>HND Honduras</v>
      </c>
      <c r="B104" s="410" t="s">
        <v>413</v>
      </c>
      <c r="C104" s="413">
        <f>VLOOKUP(B104,'12.ppp data'!$C$3:$J$273,7,FALSE)</f>
        <v>2.2357860143794994</v>
      </c>
      <c r="D104" s="413" t="str">
        <f>IF(VLOOKUP(B104,'12.ppp data'!$C$3:$J$273,8,FALSE)="est","est","-")</f>
        <v>-</v>
      </c>
      <c r="E104" s="410" t="s">
        <v>245</v>
      </c>
      <c r="F104" s="413">
        <v>4</v>
      </c>
      <c r="G104" s="413"/>
      <c r="H104" s="365"/>
      <c r="J104" s="410" t="s">
        <v>414</v>
      </c>
    </row>
    <row r="105" spans="1:10" ht="9.75" customHeight="1">
      <c r="A105" s="410" t="str">
        <f>'12.lan'!D422</f>
        <v>HRV Kroatien</v>
      </c>
      <c r="B105" s="410" t="s">
        <v>415</v>
      </c>
      <c r="C105" s="413">
        <f>VLOOKUP(B105,'12.ppp data'!$C$3:$J$273,7,FALSE)</f>
        <v>2.1432779153187802</v>
      </c>
      <c r="D105" s="413" t="str">
        <f>IF(VLOOKUP(B105,'12.ppp data'!$C$3:$J$273,8,FALSE)="est","est","-")</f>
        <v>-</v>
      </c>
      <c r="E105" s="410" t="s">
        <v>254</v>
      </c>
      <c r="F105" s="413">
        <v>2</v>
      </c>
      <c r="G105" s="413"/>
      <c r="H105" s="365"/>
      <c r="J105" s="410" t="s">
        <v>416</v>
      </c>
    </row>
    <row r="106" spans="1:10" ht="9.75" customHeight="1">
      <c r="A106" s="410" t="str">
        <f>'12.lan'!D423</f>
        <v>HTI Haiti</v>
      </c>
      <c r="B106" s="410" t="s">
        <v>417</v>
      </c>
      <c r="C106" s="413">
        <f>VLOOKUP(B106,'12.ppp data'!$C$3:$J$273,7,FALSE)</f>
        <v>2.6149917209239768</v>
      </c>
      <c r="D106" s="413" t="str">
        <f>IF(VLOOKUP(B106,'12.ppp data'!$C$3:$J$273,8,FALSE)="est","est","-")</f>
        <v>-</v>
      </c>
      <c r="E106" s="410" t="s">
        <v>245</v>
      </c>
      <c r="F106" s="413">
        <v>3.4210526315789473</v>
      </c>
      <c r="G106" s="413" t="s">
        <v>244</v>
      </c>
      <c r="H106" s="365"/>
      <c r="J106" s="410" t="s">
        <v>418</v>
      </c>
    </row>
    <row r="107" spans="1:10" ht="9.75" customHeight="1">
      <c r="A107" s="410" t="str">
        <f>'12.lan'!D424</f>
        <v>HUN Ungarn</v>
      </c>
      <c r="B107" s="410" t="s">
        <v>419</v>
      </c>
      <c r="C107" s="413">
        <f>VLOOKUP(B107,'12.ppp data'!$C$3:$J$273,7,FALSE)</f>
        <v>2.2503453362482495</v>
      </c>
      <c r="D107" s="413" t="str">
        <f>IF(VLOOKUP(B107,'12.ppp data'!$C$3:$J$273,8,FALSE)="est","est","-")</f>
        <v>-</v>
      </c>
      <c r="E107" s="410" t="s">
        <v>254</v>
      </c>
      <c r="F107" s="413">
        <v>2</v>
      </c>
      <c r="G107" s="413"/>
      <c r="H107" s="365"/>
      <c r="J107" s="410" t="s">
        <v>420</v>
      </c>
    </row>
    <row r="108" spans="1:10" ht="9.75" customHeight="1">
      <c r="A108" s="410" t="str">
        <f>'12.lan'!D425</f>
        <v>IDN Indonesien</v>
      </c>
      <c r="B108" s="410" t="s">
        <v>421</v>
      </c>
      <c r="C108" s="413">
        <f>VLOOKUP(B108,'12.ppp data'!$C$3:$J$273,7,FALSE)</f>
        <v>3.5949148764649079</v>
      </c>
      <c r="D108" s="413" t="str">
        <f>IF(VLOOKUP(B108,'12.ppp data'!$C$3:$J$273,8,FALSE)="est","est","-")</f>
        <v>-</v>
      </c>
      <c r="E108" s="410" t="s">
        <v>248</v>
      </c>
      <c r="F108" s="413">
        <v>4</v>
      </c>
      <c r="G108" s="413"/>
      <c r="H108" s="365"/>
      <c r="J108" s="410" t="s">
        <v>422</v>
      </c>
    </row>
    <row r="109" spans="1:10" ht="9.75" customHeight="1">
      <c r="A109" s="410" t="str">
        <f>'12.lan'!D426</f>
        <v>IMN Insel Man</v>
      </c>
      <c r="B109" s="410" t="s">
        <v>423</v>
      </c>
      <c r="C109" s="413">
        <f>VLOOKUP(B109,'12.ppp data'!$C$3:$J$273,7,FALSE)</f>
        <v>1.9328616451977572</v>
      </c>
      <c r="D109" s="413" t="str">
        <f>IF(VLOOKUP(B109,'12.ppp data'!$C$3:$J$273,8,FALSE)="est","est","-")</f>
        <v>est</v>
      </c>
      <c r="E109" s="410" t="s">
        <v>254</v>
      </c>
      <c r="F109" s="413">
        <v>2</v>
      </c>
      <c r="G109" s="413" t="s">
        <v>244</v>
      </c>
      <c r="H109" s="365"/>
      <c r="J109" s="410" t="s">
        <v>424</v>
      </c>
    </row>
    <row r="110" spans="1:10" ht="9.75" customHeight="1">
      <c r="A110" s="410" t="str">
        <f>'12.lan'!D427</f>
        <v>IND Indien</v>
      </c>
      <c r="B110" s="410" t="s">
        <v>425</v>
      </c>
      <c r="C110" s="413">
        <f>VLOOKUP(B110,'12.ppp data'!$C$3:$J$273,7,FALSE)</f>
        <v>4.1441016395885688</v>
      </c>
      <c r="D110" s="413" t="str">
        <f>IF(VLOOKUP(B110,'12.ppp data'!$C$3:$J$273,8,FALSE)="est","est","-")</f>
        <v>-</v>
      </c>
      <c r="E110" s="410" t="s">
        <v>248</v>
      </c>
      <c r="F110" s="413">
        <v>5</v>
      </c>
      <c r="G110" s="413"/>
      <c r="H110" s="365"/>
      <c r="J110" s="410" t="s">
        <v>426</v>
      </c>
    </row>
    <row r="111" spans="1:10" ht="9.75" customHeight="1">
      <c r="A111" s="410" t="str">
        <f>'12.lan'!D428</f>
        <v>IRL Irland</v>
      </c>
      <c r="B111" s="410" t="s">
        <v>427</v>
      </c>
      <c r="C111" s="413">
        <f>VLOOKUP(B111,'12.ppp data'!$C$3:$J$273,7,FALSE)</f>
        <v>1.2402454693833003</v>
      </c>
      <c r="D111" s="413" t="str">
        <f>IF(VLOOKUP(B111,'12.ppp data'!$C$3:$J$273,8,FALSE)="est","est","-")</f>
        <v>-</v>
      </c>
      <c r="E111" s="410" t="s">
        <v>254</v>
      </c>
      <c r="F111" s="413">
        <v>2</v>
      </c>
      <c r="G111" s="413"/>
      <c r="H111" s="365"/>
      <c r="J111" s="410" t="s">
        <v>428</v>
      </c>
    </row>
    <row r="112" spans="1:10" ht="9.75" customHeight="1">
      <c r="A112" s="410" t="str">
        <f>'12.lan'!D429</f>
        <v>IRN Iran, Islamische Republik</v>
      </c>
      <c r="B112" s="410" t="s">
        <v>429</v>
      </c>
      <c r="C112" s="413">
        <f>VLOOKUP(B112,'12.ppp data'!$C$3:$J$273,7,FALSE)</f>
        <v>4.2651915869606993</v>
      </c>
      <c r="D112" s="413" t="str">
        <f>IF(VLOOKUP(B112,'12.ppp data'!$C$3:$J$273,8,FALSE)="est","est","-")</f>
        <v>-</v>
      </c>
      <c r="E112" s="410" t="s">
        <v>248</v>
      </c>
      <c r="F112" s="413">
        <v>4</v>
      </c>
      <c r="G112" s="413"/>
      <c r="H112" s="365"/>
      <c r="J112" s="410" t="s">
        <v>430</v>
      </c>
    </row>
    <row r="113" spans="1:10" ht="9.75" customHeight="1">
      <c r="A113" s="410" t="str">
        <f>'12.lan'!D430</f>
        <v>IRQ Irak</v>
      </c>
      <c r="B113" s="410" t="s">
        <v>431</v>
      </c>
      <c r="C113" s="413">
        <f>VLOOKUP(B113,'12.ppp data'!$C$3:$J$273,7,FALSE)</f>
        <v>3.6759877714184279</v>
      </c>
      <c r="D113" s="413" t="str">
        <f>IF(VLOOKUP(B113,'12.ppp data'!$C$3:$J$273,8,FALSE)="est","est","-")</f>
        <v>-</v>
      </c>
      <c r="E113" s="410" t="s">
        <v>248</v>
      </c>
      <c r="F113" s="413">
        <v>4</v>
      </c>
      <c r="G113" s="413"/>
      <c r="H113" s="365"/>
      <c r="I113" s="416"/>
      <c r="J113" s="410" t="s">
        <v>432</v>
      </c>
    </row>
    <row r="114" spans="1:10" ht="9.75" customHeight="1">
      <c r="A114" s="410" t="str">
        <f>'12.lan'!D431</f>
        <v>ISL Island</v>
      </c>
      <c r="B114" s="410" t="s">
        <v>433</v>
      </c>
      <c r="C114" s="413">
        <f>VLOOKUP(B114,'12.ppp data'!$C$3:$J$273,7,FALSE)</f>
        <v>0.8592191515177231</v>
      </c>
      <c r="D114" s="413" t="str">
        <f>IF(VLOOKUP(B114,'12.ppp data'!$C$3:$J$273,8,FALSE)="est","est","-")</f>
        <v>-</v>
      </c>
      <c r="E114" s="410" t="s">
        <v>254</v>
      </c>
      <c r="F114" s="413">
        <v>1</v>
      </c>
      <c r="G114" s="413"/>
      <c r="H114" s="365"/>
      <c r="J114" s="410" t="s">
        <v>434</v>
      </c>
    </row>
    <row r="115" spans="1:10" ht="9.75" customHeight="1">
      <c r="A115" s="410" t="str">
        <f>'12.lan'!D432</f>
        <v>ISR Israel</v>
      </c>
      <c r="B115" s="410" t="s">
        <v>435</v>
      </c>
      <c r="C115" s="413">
        <f>VLOOKUP(B115,'12.ppp data'!$C$3:$J$273,7,FALSE)</f>
        <v>1.0762143045253052</v>
      </c>
      <c r="D115" s="413" t="str">
        <f>IF(VLOOKUP(B115,'12.ppp data'!$C$3:$J$273,8,FALSE)="est","est","-")</f>
        <v>-</v>
      </c>
      <c r="E115" s="410" t="s">
        <v>248</v>
      </c>
      <c r="F115" s="413">
        <v>3</v>
      </c>
      <c r="G115" s="413"/>
      <c r="H115" s="365"/>
      <c r="J115" s="410" t="s">
        <v>436</v>
      </c>
    </row>
    <row r="116" spans="1:10" ht="9.75" customHeight="1">
      <c r="A116" s="410" t="str">
        <f>'12.lan'!D433</f>
        <v>ITA Italien</v>
      </c>
      <c r="B116" s="410" t="s">
        <v>437</v>
      </c>
      <c r="C116" s="413">
        <f>VLOOKUP(B116,'12.ppp data'!$C$3:$J$273,7,FALSE)</f>
        <v>1.4042379902545883</v>
      </c>
      <c r="D116" s="413" t="str">
        <f>IF(VLOOKUP(B116,'12.ppp data'!$C$3:$J$273,8,FALSE)="est","est","-")</f>
        <v>-</v>
      </c>
      <c r="E116" s="410" t="s">
        <v>254</v>
      </c>
      <c r="F116" s="413">
        <v>1</v>
      </c>
      <c r="G116" s="413"/>
      <c r="H116" s="365"/>
      <c r="J116" s="410" t="s">
        <v>438</v>
      </c>
    </row>
    <row r="117" spans="1:10" ht="9.75" customHeight="1">
      <c r="A117" s="410" t="str">
        <f>'12.lan'!D434</f>
        <v>JAM Jamaika</v>
      </c>
      <c r="B117" s="410" t="s">
        <v>439</v>
      </c>
      <c r="C117" s="413">
        <f>VLOOKUP(B117,'12.ppp data'!$C$3:$J$273,7,FALSE)</f>
        <v>1.971695940369244</v>
      </c>
      <c r="D117" s="413" t="str">
        <f>IF(VLOOKUP(B117,'12.ppp data'!$C$3:$J$273,8,FALSE)="est","est","-")</f>
        <v>-</v>
      </c>
      <c r="E117" s="410" t="s">
        <v>245</v>
      </c>
      <c r="F117" s="413">
        <v>3.4210526315789473</v>
      </c>
      <c r="G117" s="413" t="s">
        <v>244</v>
      </c>
      <c r="H117" s="365"/>
      <c r="J117" s="410" t="s">
        <v>440</v>
      </c>
    </row>
    <row r="118" spans="1:10" ht="9.75" customHeight="1">
      <c r="A118" s="410" t="str">
        <f>'12.lan'!D435</f>
        <v>JOR Jordanien</v>
      </c>
      <c r="B118" s="410" t="s">
        <v>441</v>
      </c>
      <c r="C118" s="413">
        <f>VLOOKUP(B118,'12.ppp data'!$C$3:$J$273,7,FALSE)</f>
        <v>2.4925530650495307</v>
      </c>
      <c r="D118" s="413" t="str">
        <f>IF(VLOOKUP(B118,'12.ppp data'!$C$3:$J$273,8,FALSE)="est","est","-")</f>
        <v>-</v>
      </c>
      <c r="E118" s="410" t="s">
        <v>248</v>
      </c>
      <c r="F118" s="413">
        <v>4</v>
      </c>
      <c r="G118" s="413"/>
      <c r="H118" s="365"/>
      <c r="J118" s="410" t="s">
        <v>442</v>
      </c>
    </row>
    <row r="119" spans="1:10" ht="9.75" customHeight="1">
      <c r="A119" s="410" t="str">
        <f>'12.lan'!D436</f>
        <v>JPN Japan</v>
      </c>
      <c r="B119" s="410" t="s">
        <v>443</v>
      </c>
      <c r="C119" s="413">
        <f>VLOOKUP(B119,'12.ppp data'!$C$3:$J$273,7,FALSE)</f>
        <v>1.289408120101881</v>
      </c>
      <c r="D119" s="413" t="str">
        <f>IF(VLOOKUP(B119,'12.ppp data'!$C$3:$J$273,8,FALSE)="est","est","-")</f>
        <v>-</v>
      </c>
      <c r="E119" s="410" t="s">
        <v>248</v>
      </c>
      <c r="F119" s="413">
        <v>2</v>
      </c>
      <c r="G119" s="413"/>
      <c r="H119" s="365"/>
      <c r="J119" s="410" t="s">
        <v>444</v>
      </c>
    </row>
    <row r="120" spans="1:10" ht="9.75" customHeight="1">
      <c r="A120" s="410" t="str">
        <f>'12.lan'!D437</f>
        <v>KAZ Kasachstan</v>
      </c>
      <c r="B120" s="410" t="s">
        <v>445</v>
      </c>
      <c r="C120" s="413">
        <f>VLOOKUP(B120,'12.ppp data'!$C$3:$J$273,7,FALSE)</f>
        <v>3.3588315181911566</v>
      </c>
      <c r="D120" s="413" t="str">
        <f>IF(VLOOKUP(B120,'12.ppp data'!$C$3:$J$273,8,FALSE)="est","est","-")</f>
        <v>-</v>
      </c>
      <c r="E120" s="410" t="s">
        <v>248</v>
      </c>
      <c r="F120" s="413">
        <v>4.1785714285714288</v>
      </c>
      <c r="G120" s="413" t="s">
        <v>244</v>
      </c>
      <c r="H120" s="365"/>
      <c r="J120" s="410" t="s">
        <v>446</v>
      </c>
    </row>
    <row r="121" spans="1:10" ht="9.75" customHeight="1">
      <c r="A121" s="410" t="str">
        <f>'12.lan'!D438</f>
        <v>KEN Kenia</v>
      </c>
      <c r="B121" s="410" t="s">
        <v>447</v>
      </c>
      <c r="C121" s="413">
        <f>VLOOKUP(B121,'12.ppp data'!$C$3:$J$273,7,FALSE)</f>
        <v>2.4223625817382604</v>
      </c>
      <c r="D121" s="413" t="str">
        <f>IF(VLOOKUP(B121,'12.ppp data'!$C$3:$J$273,8,FALSE)="est","est","-")</f>
        <v>-</v>
      </c>
      <c r="E121" s="410" t="s">
        <v>251</v>
      </c>
      <c r="F121" s="413">
        <v>4</v>
      </c>
      <c r="G121" s="413"/>
      <c r="H121" s="365"/>
      <c r="J121" s="410" t="s">
        <v>448</v>
      </c>
    </row>
    <row r="122" spans="1:10" ht="9.75" customHeight="1">
      <c r="A122" s="410" t="str">
        <f>'12.lan'!D439</f>
        <v>KGZ Kirgisistan</v>
      </c>
      <c r="B122" s="410" t="s">
        <v>449</v>
      </c>
      <c r="C122" s="413">
        <f>VLOOKUP(B122,'12.ppp data'!$C$3:$J$273,7,FALSE)</f>
        <v>3.4494948712057099</v>
      </c>
      <c r="D122" s="413" t="str">
        <f>IF(VLOOKUP(B122,'12.ppp data'!$C$3:$J$273,8,FALSE)="est","est","-")</f>
        <v>-</v>
      </c>
      <c r="E122" s="410" t="s">
        <v>248</v>
      </c>
      <c r="F122" s="413">
        <v>4.1785714285714288</v>
      </c>
      <c r="G122" s="413" t="s">
        <v>244</v>
      </c>
      <c r="H122" s="365"/>
      <c r="J122" s="410" t="s">
        <v>450</v>
      </c>
    </row>
    <row r="123" spans="1:10" ht="9.75" customHeight="1">
      <c r="A123" s="410" t="str">
        <f>'12.lan'!D440</f>
        <v>KHM Kambodscha</v>
      </c>
      <c r="B123" s="410" t="s">
        <v>451</v>
      </c>
      <c r="C123" s="413">
        <f>VLOOKUP(B123,'12.ppp data'!$C$3:$J$273,7,FALSE)</f>
        <v>3.2098097333169209</v>
      </c>
      <c r="D123" s="413" t="str">
        <f>IF(VLOOKUP(B123,'12.ppp data'!$C$3:$J$273,8,FALSE)="est","est","-")</f>
        <v>-</v>
      </c>
      <c r="E123" s="410" t="s">
        <v>248</v>
      </c>
      <c r="F123" s="413">
        <v>5</v>
      </c>
      <c r="G123" s="413"/>
      <c r="H123" s="365"/>
      <c r="J123" s="410" t="s">
        <v>452</v>
      </c>
    </row>
    <row r="124" spans="1:10" ht="9.75" customHeight="1">
      <c r="A124" s="410" t="str">
        <f>'12.lan'!D441</f>
        <v>KIR Kiribati</v>
      </c>
      <c r="B124" s="410" t="s">
        <v>453</v>
      </c>
      <c r="C124" s="413">
        <f>VLOOKUP(B124,'12.ppp data'!$C$3:$J$273,7,FALSE)</f>
        <v>1.4578886144399337</v>
      </c>
      <c r="D124" s="413" t="str">
        <f>IF(VLOOKUP(B124,'12.ppp data'!$C$3:$J$273,8,FALSE)="est","est","-")</f>
        <v>-</v>
      </c>
      <c r="E124" s="410" t="s">
        <v>265</v>
      </c>
      <c r="F124" s="413">
        <v>3</v>
      </c>
      <c r="G124" s="413" t="s">
        <v>244</v>
      </c>
      <c r="H124" s="365"/>
      <c r="J124" s="410" t="s">
        <v>454</v>
      </c>
    </row>
    <row r="125" spans="1:10" ht="9.75" customHeight="1">
      <c r="A125" s="410" t="str">
        <f>'12.lan'!D442</f>
        <v>KNA St. Kitts und Nevis</v>
      </c>
      <c r="B125" s="410" t="s">
        <v>455</v>
      </c>
      <c r="C125" s="413">
        <f>VLOOKUP(B125,'12.ppp data'!$C$3:$J$273,7,FALSE)</f>
        <v>1.7888565277997799</v>
      </c>
      <c r="D125" s="413" t="str">
        <f>IF(VLOOKUP(B125,'12.ppp data'!$C$3:$J$273,8,FALSE)="est","est","-")</f>
        <v>-</v>
      </c>
      <c r="E125" s="410" t="s">
        <v>245</v>
      </c>
      <c r="F125" s="413">
        <v>3.4210526315789473</v>
      </c>
      <c r="G125" s="413" t="s">
        <v>244</v>
      </c>
      <c r="H125" s="365"/>
      <c r="J125" s="410" t="s">
        <v>456</v>
      </c>
    </row>
    <row r="126" spans="1:10" ht="9.75" customHeight="1">
      <c r="A126" s="410" t="str">
        <f>'12.lan'!D443</f>
        <v>KOR Korea, Republik (Südkorea)</v>
      </c>
      <c r="B126" s="410" t="s">
        <v>457</v>
      </c>
      <c r="C126" s="413">
        <f>VLOOKUP(B126,'12.ppp data'!$C$3:$J$273,7,FALSE)</f>
        <v>1.4506518569594702</v>
      </c>
      <c r="D126" s="413" t="str">
        <f>IF(VLOOKUP(B126,'12.ppp data'!$C$3:$J$273,8,FALSE)="est","est","-")</f>
        <v>-</v>
      </c>
      <c r="E126" s="410" t="s">
        <v>248</v>
      </c>
      <c r="F126" s="413">
        <v>5</v>
      </c>
      <c r="G126" s="413"/>
      <c r="H126" s="365"/>
      <c r="J126" s="410" t="s">
        <v>458</v>
      </c>
    </row>
    <row r="127" spans="1:10" ht="9.75" customHeight="1">
      <c r="A127" s="410" t="str">
        <f>'12.lan'!D444</f>
        <v>KWT Kuwait</v>
      </c>
      <c r="B127" s="410" t="s">
        <v>459</v>
      </c>
      <c r="C127" s="413">
        <f>VLOOKUP(B127,'12.ppp data'!$C$3:$J$273,7,FALSE)</f>
        <v>2.7936161920559552</v>
      </c>
      <c r="D127" s="413" t="str">
        <f>IF(VLOOKUP(B127,'12.ppp data'!$C$3:$J$273,8,FALSE)="est","est","-")</f>
        <v>-</v>
      </c>
      <c r="E127" s="410" t="s">
        <v>248</v>
      </c>
      <c r="F127" s="413">
        <v>4.1785714285714288</v>
      </c>
      <c r="G127" s="413" t="s">
        <v>244</v>
      </c>
      <c r="H127" s="365"/>
      <c r="J127" s="410" t="s">
        <v>460</v>
      </c>
    </row>
    <row r="128" spans="1:10" ht="9.75" customHeight="1">
      <c r="A128" s="410" t="str">
        <f>'12.lan'!D445</f>
        <v>LAO Laos, Demokratische Volksrepublik</v>
      </c>
      <c r="B128" s="410" t="s">
        <v>461</v>
      </c>
      <c r="C128" s="413">
        <f>VLOOKUP(B128,'12.ppp data'!$C$3:$J$273,7,FALSE)</f>
        <v>3.1322620381478607</v>
      </c>
      <c r="D128" s="413" t="str">
        <f>IF(VLOOKUP(B128,'12.ppp data'!$C$3:$J$273,8,FALSE)="est","est","-")</f>
        <v>-</v>
      </c>
      <c r="E128" s="410" t="s">
        <v>248</v>
      </c>
      <c r="F128" s="413">
        <v>4.1785714285714288</v>
      </c>
      <c r="G128" s="413" t="s">
        <v>244</v>
      </c>
      <c r="H128" s="365"/>
      <c r="J128" s="410" t="s">
        <v>462</v>
      </c>
    </row>
    <row r="129" spans="1:10" ht="9.75" customHeight="1">
      <c r="A129" s="410" t="str">
        <f>'12.lan'!D446</f>
        <v>LBN Libanon</v>
      </c>
      <c r="B129" s="410" t="s">
        <v>463</v>
      </c>
      <c r="C129" s="413">
        <f>VLOOKUP(B129,'12.ppp data'!$C$3:$J$273,7,FALSE)</f>
        <v>1.9167268969756734</v>
      </c>
      <c r="D129" s="413" t="str">
        <f>IF(VLOOKUP(B129,'12.ppp data'!$C$3:$J$273,8,FALSE)="est","est","-")</f>
        <v>-</v>
      </c>
      <c r="E129" s="410" t="s">
        <v>248</v>
      </c>
      <c r="F129" s="413">
        <v>4</v>
      </c>
      <c r="G129" s="413"/>
      <c r="H129" s="365"/>
      <c r="J129" s="410" t="s">
        <v>464</v>
      </c>
    </row>
    <row r="130" spans="1:10" ht="9.75" customHeight="1">
      <c r="A130" s="410" t="str">
        <f>'12.lan'!D447</f>
        <v>LBR Liberia</v>
      </c>
      <c r="B130" s="410" t="s">
        <v>465</v>
      </c>
      <c r="C130" s="413">
        <f>VLOOKUP(B130,'12.ppp data'!$C$3:$J$273,7,FALSE)</f>
        <v>3.0325616327831186</v>
      </c>
      <c r="D130" s="413" t="str">
        <f>IF(VLOOKUP(B130,'12.ppp data'!$C$3:$J$273,8,FALSE)="est","est","-")</f>
        <v>est</v>
      </c>
      <c r="E130" s="410" t="s">
        <v>251</v>
      </c>
      <c r="F130" s="413">
        <v>3.7083333333333335</v>
      </c>
      <c r="G130" s="413" t="s">
        <v>244</v>
      </c>
      <c r="H130" s="365"/>
      <c r="J130" s="410" t="s">
        <v>466</v>
      </c>
    </row>
    <row r="131" spans="1:10" ht="9.75" customHeight="1">
      <c r="A131" s="410" t="str">
        <f>'12.lan'!D448</f>
        <v>LBY Libyen</v>
      </c>
      <c r="B131" s="410" t="s">
        <v>467</v>
      </c>
      <c r="C131" s="413">
        <f>VLOOKUP(B131,'12.ppp data'!$C$3:$J$273,7,FALSE)</f>
        <v>2.7429361769978748</v>
      </c>
      <c r="D131" s="413" t="str">
        <f>IF(VLOOKUP(B131,'12.ppp data'!$C$3:$J$273,8,FALSE)="est","est","-")</f>
        <v>-</v>
      </c>
      <c r="E131" s="410" t="s">
        <v>251</v>
      </c>
      <c r="F131" s="413">
        <v>6</v>
      </c>
      <c r="G131" s="413"/>
      <c r="H131" s="365"/>
      <c r="J131" s="410" t="s">
        <v>468</v>
      </c>
    </row>
    <row r="132" spans="1:10" ht="9.75" customHeight="1">
      <c r="A132" s="410" t="str">
        <f>'12.lan'!D449</f>
        <v>LCA St. Lucia</v>
      </c>
      <c r="B132" s="410" t="s">
        <v>469</v>
      </c>
      <c r="C132" s="413">
        <f>VLOOKUP(B132,'12.ppp data'!$C$3:$J$273,7,FALSE)</f>
        <v>1.6774576013408569</v>
      </c>
      <c r="D132" s="413" t="str">
        <f>IF(VLOOKUP(B132,'12.ppp data'!$C$3:$J$273,8,FALSE)="est","est","-")</f>
        <v>-</v>
      </c>
      <c r="E132" s="410" t="s">
        <v>245</v>
      </c>
      <c r="F132" s="413">
        <v>3.4210526315789473</v>
      </c>
      <c r="G132" s="413" t="s">
        <v>244</v>
      </c>
      <c r="H132" s="365"/>
      <c r="J132" s="410" t="s">
        <v>470</v>
      </c>
    </row>
    <row r="133" spans="1:10" ht="9.75" customHeight="1">
      <c r="A133" s="410" t="str">
        <f>'12.lan'!D450</f>
        <v>LIE Liechtenstein</v>
      </c>
      <c r="B133" s="410" t="s">
        <v>471</v>
      </c>
      <c r="C133" s="413">
        <f>VLOOKUP(B133,'12.ppp data'!$C$3:$J$273,7,FALSE)</f>
        <v>1.9328616451977572</v>
      </c>
      <c r="D133" s="413" t="str">
        <f>IF(VLOOKUP(B133,'12.ppp data'!$C$3:$J$273,8,FALSE)="est","est","-")</f>
        <v>est</v>
      </c>
      <c r="E133" s="410" t="s">
        <v>254</v>
      </c>
      <c r="F133" s="413">
        <v>2</v>
      </c>
      <c r="G133" s="413" t="s">
        <v>244</v>
      </c>
      <c r="H133" s="365"/>
      <c r="J133" s="410" t="s">
        <v>472</v>
      </c>
    </row>
    <row r="134" spans="1:10" ht="9.75" customHeight="1">
      <c r="A134" s="410" t="str">
        <f>'12.lan'!D451</f>
        <v>LKA Sri Lanka</v>
      </c>
      <c r="B134" s="410" t="s">
        <v>473</v>
      </c>
      <c r="C134" s="413">
        <f>VLOOKUP(B134,'12.ppp data'!$C$3:$J$273,7,FALSE)</f>
        <v>3.5153613362075382</v>
      </c>
      <c r="D134" s="413" t="str">
        <f>IF(VLOOKUP(B134,'12.ppp data'!$C$3:$J$273,8,FALSE)="est","est","-")</f>
        <v>-</v>
      </c>
      <c r="E134" s="410" t="s">
        <v>248</v>
      </c>
      <c r="F134" s="413">
        <v>3</v>
      </c>
      <c r="G134" s="413"/>
      <c r="J134" s="410" t="s">
        <v>474</v>
      </c>
    </row>
    <row r="135" spans="1:10" ht="9.75" customHeight="1">
      <c r="A135" s="410" t="str">
        <f>'12.lan'!D452</f>
        <v>LSO Lesotho</v>
      </c>
      <c r="B135" s="410" t="s">
        <v>475</v>
      </c>
      <c r="C135" s="413">
        <f>VLOOKUP(B135,'12.ppp data'!$C$3:$J$273,7,FALSE)</f>
        <v>2.9838131733892213</v>
      </c>
      <c r="D135" s="413" t="str">
        <f>IF(VLOOKUP(B135,'12.ppp data'!$C$3:$J$273,8,FALSE)="est","est","-")</f>
        <v>-</v>
      </c>
      <c r="E135" s="410" t="s">
        <v>251</v>
      </c>
      <c r="F135" s="413">
        <v>3.7083333333333335</v>
      </c>
      <c r="G135" s="413" t="s">
        <v>244</v>
      </c>
      <c r="J135" s="410" t="s">
        <v>476</v>
      </c>
    </row>
    <row r="136" spans="1:10" ht="9.75" customHeight="1">
      <c r="A136" s="410" t="str">
        <f>'12.lan'!D453</f>
        <v>LTU Litauen</v>
      </c>
      <c r="B136" s="410" t="s">
        <v>477</v>
      </c>
      <c r="C136" s="413">
        <f>VLOOKUP(B136,'12.ppp data'!$C$3:$J$273,7,FALSE)</f>
        <v>2.1680617670991795</v>
      </c>
      <c r="D136" s="413" t="str">
        <f>IF(VLOOKUP(B136,'12.ppp data'!$C$3:$J$273,8,FALSE)="est","est","-")</f>
        <v>-</v>
      </c>
      <c r="E136" s="410" t="s">
        <v>254</v>
      </c>
      <c r="F136" s="413">
        <v>1</v>
      </c>
      <c r="G136" s="413"/>
      <c r="J136" s="410" t="s">
        <v>478</v>
      </c>
    </row>
    <row r="137" spans="1:10" ht="12.75" customHeight="1">
      <c r="A137" s="410" t="str">
        <f>'12.lan'!D454</f>
        <v>LUX Luxemburg</v>
      </c>
      <c r="B137" s="410" t="s">
        <v>479</v>
      </c>
      <c r="C137" s="413">
        <f>VLOOKUP(B137,'12.ppp data'!$C$3:$J$273,7,FALSE)</f>
        <v>1.1221140628944932</v>
      </c>
      <c r="D137" s="413" t="str">
        <f>IF(VLOOKUP(B137,'12.ppp data'!$C$3:$J$273,8,FALSE)="est","est","-")</f>
        <v>-</v>
      </c>
      <c r="E137" s="410" t="s">
        <v>254</v>
      </c>
      <c r="F137" s="413">
        <v>2</v>
      </c>
      <c r="G137" s="413" t="s">
        <v>244</v>
      </c>
      <c r="H137" s="417"/>
      <c r="I137" s="417"/>
      <c r="J137" s="410" t="s">
        <v>480</v>
      </c>
    </row>
    <row r="138" spans="1:10" ht="9.75" customHeight="1">
      <c r="A138" s="410" t="str">
        <f>'12.lan'!D455</f>
        <v>LVA Lettland</v>
      </c>
      <c r="B138" s="410" t="s">
        <v>481</v>
      </c>
      <c r="C138" s="413">
        <f>VLOOKUP(B138,'12.ppp data'!$C$3:$J$273,7,FALSE)</f>
        <v>1.9943396855928879</v>
      </c>
      <c r="D138" s="413" t="str">
        <f>IF(VLOOKUP(B138,'12.ppp data'!$C$3:$J$273,8,FALSE)="est","est","-")</f>
        <v>-</v>
      </c>
      <c r="E138" s="410" t="s">
        <v>254</v>
      </c>
      <c r="F138" s="413">
        <v>2</v>
      </c>
      <c r="G138" s="413"/>
      <c r="H138" s="365"/>
      <c r="J138" s="410" t="s">
        <v>482</v>
      </c>
    </row>
    <row r="139" spans="1:10" ht="9.75" customHeight="1">
      <c r="A139" s="410" t="str">
        <f>'12.lan'!D456</f>
        <v>MAC Macao</v>
      </c>
      <c r="B139" s="410" t="s">
        <v>483</v>
      </c>
      <c r="C139" s="413">
        <f>VLOOKUP(B139,'12.ppp data'!$C$3:$J$273,7,FALSE)</f>
        <v>1.5732384462091706</v>
      </c>
      <c r="D139" s="413" t="str">
        <f>IF(VLOOKUP(B139,'12.ppp data'!$C$3:$J$273,8,FALSE)="est","est","-")</f>
        <v>-</v>
      </c>
      <c r="E139" s="410" t="s">
        <v>248</v>
      </c>
      <c r="F139" s="413">
        <v>4.1785714285714288</v>
      </c>
      <c r="G139" s="413" t="s">
        <v>244</v>
      </c>
      <c r="H139" s="365"/>
      <c r="J139" s="410" t="s">
        <v>484</v>
      </c>
    </row>
    <row r="140" spans="1:10" ht="9.75" customHeight="1">
      <c r="A140" s="410" t="str">
        <f>'12.lan'!D457</f>
        <v>MAF Saint-Martin (franz. Teil)</v>
      </c>
      <c r="B140" s="410" t="s">
        <v>485</v>
      </c>
      <c r="C140" s="413">
        <f>VLOOKUP(B140,'12.ppp data'!$C$3:$J$273,7,FALSE)</f>
        <v>1.9628994497935313</v>
      </c>
      <c r="D140" s="413" t="str">
        <f>IF(VLOOKUP(B140,'12.ppp data'!$C$3:$J$273,8,FALSE)="est","est","-")</f>
        <v>est</v>
      </c>
      <c r="E140" s="410" t="s">
        <v>245</v>
      </c>
      <c r="F140" s="413">
        <v>3.4210526315789473</v>
      </c>
      <c r="G140" s="413" t="s">
        <v>244</v>
      </c>
      <c r="H140" s="365"/>
      <c r="J140" s="410" t="s">
        <v>486</v>
      </c>
    </row>
    <row r="141" spans="1:10" ht="9.75" customHeight="1">
      <c r="A141" s="410" t="str">
        <f>'12.lan'!D458</f>
        <v>MAR Marokko</v>
      </c>
      <c r="B141" s="410" t="s">
        <v>487</v>
      </c>
      <c r="C141" s="413">
        <f>VLOOKUP(B141,'12.ppp data'!$C$3:$J$273,7,FALSE)</f>
        <v>3.0507020343760036</v>
      </c>
      <c r="D141" s="413" t="str">
        <f>IF(VLOOKUP(B141,'12.ppp data'!$C$3:$J$273,8,FALSE)="est","est","-")</f>
        <v>-</v>
      </c>
      <c r="E141" s="410" t="s">
        <v>251</v>
      </c>
      <c r="F141" s="413">
        <v>4</v>
      </c>
      <c r="G141" s="413"/>
      <c r="H141" s="365"/>
      <c r="J141" s="410" t="s">
        <v>488</v>
      </c>
    </row>
    <row r="142" spans="1:10" ht="9.75" customHeight="1">
      <c r="A142" s="410" t="str">
        <f>'12.lan'!D459</f>
        <v>MCO Monaco</v>
      </c>
      <c r="B142" s="410" t="s">
        <v>489</v>
      </c>
      <c r="C142" s="413">
        <f>VLOOKUP(B142,'12.ppp data'!$C$3:$J$273,7,FALSE)</f>
        <v>1.9328616451977572</v>
      </c>
      <c r="D142" s="413" t="str">
        <f>IF(VLOOKUP(B142,'12.ppp data'!$C$3:$J$273,8,FALSE)="est","est","-")</f>
        <v>est</v>
      </c>
      <c r="E142" s="410" t="s">
        <v>254</v>
      </c>
      <c r="F142" s="413">
        <v>2</v>
      </c>
      <c r="G142" s="413" t="s">
        <v>244</v>
      </c>
      <c r="H142" s="365"/>
      <c r="J142" s="410" t="s">
        <v>490</v>
      </c>
    </row>
    <row r="143" spans="1:10" ht="9.75" customHeight="1">
      <c r="A143" s="410" t="str">
        <f>'12.lan'!D460</f>
        <v>MDA Moldawien (Republik Moldau)</v>
      </c>
      <c r="B143" s="410" t="s">
        <v>491</v>
      </c>
      <c r="C143" s="413">
        <f>VLOOKUP(B143,'12.ppp data'!$C$3:$J$273,7,FALSE)</f>
        <v>2.7670105137219925</v>
      </c>
      <c r="D143" s="413" t="str">
        <f>IF(VLOOKUP(B143,'12.ppp data'!$C$3:$J$273,8,FALSE)="est","est","-")</f>
        <v>-</v>
      </c>
      <c r="E143" s="410" t="s">
        <v>254</v>
      </c>
      <c r="F143" s="413">
        <v>2</v>
      </c>
      <c r="G143" s="413" t="s">
        <v>244</v>
      </c>
      <c r="H143" s="365"/>
      <c r="J143" s="410" t="s">
        <v>492</v>
      </c>
    </row>
    <row r="144" spans="1:10" ht="9.75" customHeight="1">
      <c r="A144" s="410" t="str">
        <f>'12.lan'!D461</f>
        <v>MDG Madagaskar</v>
      </c>
      <c r="B144" s="410" t="s">
        <v>493</v>
      </c>
      <c r="C144" s="413">
        <f>VLOOKUP(B144,'12.ppp data'!$C$3:$J$273,7,FALSE)</f>
        <v>3.8637777031581284</v>
      </c>
      <c r="D144" s="413" t="str">
        <f>IF(VLOOKUP(B144,'12.ppp data'!$C$3:$J$273,8,FALSE)="est","est","-")</f>
        <v>-</v>
      </c>
      <c r="E144" s="410" t="s">
        <v>251</v>
      </c>
      <c r="F144" s="413">
        <v>3.7083333333333335</v>
      </c>
      <c r="G144" s="413" t="s">
        <v>244</v>
      </c>
      <c r="H144" s="365"/>
      <c r="J144" s="410" t="s">
        <v>494</v>
      </c>
    </row>
    <row r="145" spans="1:10" ht="9.75" customHeight="1">
      <c r="A145" s="410" t="str">
        <f>'12.lan'!D462</f>
        <v>MDV Malediven</v>
      </c>
      <c r="B145" s="410" t="s">
        <v>495</v>
      </c>
      <c r="C145" s="413">
        <f>VLOOKUP(B145,'12.ppp data'!$C$3:$J$273,7,FALSE)</f>
        <v>1.7711325139780212</v>
      </c>
      <c r="D145" s="413" t="str">
        <f>IF(VLOOKUP(B145,'12.ppp data'!$C$3:$J$273,8,FALSE)="est","est","-")</f>
        <v>-</v>
      </c>
      <c r="E145" s="410" t="s">
        <v>248</v>
      </c>
      <c r="F145" s="413">
        <v>4.1785714285714288</v>
      </c>
      <c r="G145" s="413" t="s">
        <v>244</v>
      </c>
      <c r="H145" s="365"/>
      <c r="J145" s="410" t="s">
        <v>496</v>
      </c>
    </row>
    <row r="146" spans="1:10" ht="9.75" customHeight="1">
      <c r="A146" s="410" t="str">
        <f>'12.lan'!D463</f>
        <v>MEX Mexiko</v>
      </c>
      <c r="B146" s="410" t="s">
        <v>497</v>
      </c>
      <c r="C146" s="413">
        <f>VLOOKUP(B146,'12.ppp data'!$C$3:$J$273,7,FALSE)</f>
        <v>2.2994533112823494</v>
      </c>
      <c r="D146" s="413" t="str">
        <f>IF(VLOOKUP(B146,'12.ppp data'!$C$3:$J$273,8,FALSE)="est","est","-")</f>
        <v>-</v>
      </c>
      <c r="E146" s="410" t="s">
        <v>245</v>
      </c>
      <c r="F146" s="413">
        <v>4</v>
      </c>
      <c r="G146" s="413"/>
      <c r="H146" s="365"/>
      <c r="J146" s="410" t="s">
        <v>498</v>
      </c>
    </row>
    <row r="147" spans="1:10" ht="9.75" customHeight="1">
      <c r="A147" s="410" t="str">
        <f>'12.lan'!D464</f>
        <v>MHL Marshallinseln</v>
      </c>
      <c r="B147" s="410" t="s">
        <v>499</v>
      </c>
      <c r="C147" s="413">
        <f>VLOOKUP(B147,'12.ppp data'!$C$3:$J$273,7,FALSE)</f>
        <v>1.2618033753819571</v>
      </c>
      <c r="D147" s="413" t="str">
        <f>IF(VLOOKUP(B147,'12.ppp data'!$C$3:$J$273,8,FALSE)="est","est","-")</f>
        <v>-</v>
      </c>
      <c r="E147" s="410" t="s">
        <v>265</v>
      </c>
      <c r="F147" s="413">
        <v>3</v>
      </c>
      <c r="G147" s="413" t="s">
        <v>244</v>
      </c>
      <c r="H147" s="365"/>
      <c r="J147" s="410" t="s">
        <v>500</v>
      </c>
    </row>
    <row r="148" spans="1:10" ht="9.75" customHeight="1">
      <c r="A148" s="410" t="str">
        <f>'12.lan'!D465</f>
        <v>MKD Mazedonien</v>
      </c>
      <c r="B148" s="410" t="s">
        <v>501</v>
      </c>
      <c r="C148" s="413">
        <f>VLOOKUP(B148,'12.ppp data'!$C$3:$J$273,7,FALSE)</f>
        <v>3.1366359337907035</v>
      </c>
      <c r="D148" s="413" t="str">
        <f>IF(VLOOKUP(B148,'12.ppp data'!$C$3:$J$273,8,FALSE)="est","est","-")</f>
        <v>-</v>
      </c>
      <c r="E148" s="410" t="s">
        <v>254</v>
      </c>
      <c r="F148" s="413">
        <v>2</v>
      </c>
      <c r="G148" s="413" t="s">
        <v>244</v>
      </c>
      <c r="H148" s="365"/>
      <c r="J148" s="410" t="s">
        <v>502</v>
      </c>
    </row>
    <row r="149" spans="1:10" ht="9.75" customHeight="1">
      <c r="A149" s="410" t="str">
        <f>'12.lan'!D466</f>
        <v>MLI Mali</v>
      </c>
      <c r="B149" s="410" t="s">
        <v>503</v>
      </c>
      <c r="C149" s="413">
        <f>VLOOKUP(B149,'12.ppp data'!$C$3:$J$273,7,FALSE)</f>
        <v>3.0266697017457096</v>
      </c>
      <c r="D149" s="413" t="str">
        <f>IF(VLOOKUP(B149,'12.ppp data'!$C$3:$J$273,8,FALSE)="est","est","-")</f>
        <v>-</v>
      </c>
      <c r="E149" s="410" t="s">
        <v>251</v>
      </c>
      <c r="F149" s="413">
        <v>3.7083333333333335</v>
      </c>
      <c r="G149" s="413" t="s">
        <v>244</v>
      </c>
      <c r="H149" s="365"/>
      <c r="J149" s="410" t="s">
        <v>504</v>
      </c>
    </row>
    <row r="150" spans="1:10" ht="9.75" customHeight="1">
      <c r="A150" s="410" t="str">
        <f>'12.lan'!D467</f>
        <v>MLT Malta</v>
      </c>
      <c r="B150" s="410" t="s">
        <v>505</v>
      </c>
      <c r="C150" s="413">
        <f>VLOOKUP(B150,'12.ppp data'!$C$3:$J$273,7,FALSE)</f>
        <v>0.71108892792764722</v>
      </c>
      <c r="D150" s="413" t="str">
        <f>IF(VLOOKUP(B150,'12.ppp data'!$C$3:$J$273,8,FALSE)="est","est","-")</f>
        <v>-</v>
      </c>
      <c r="E150" s="410" t="s">
        <v>254</v>
      </c>
      <c r="F150" s="413">
        <v>2</v>
      </c>
      <c r="G150" s="413" t="s">
        <v>244</v>
      </c>
      <c r="H150" s="365"/>
      <c r="J150" s="410" t="s">
        <v>506</v>
      </c>
    </row>
    <row r="151" spans="1:10" ht="9.75" customHeight="1">
      <c r="A151" s="410" t="str">
        <f>'12.lan'!D468</f>
        <v>MMR Myanmar (Burma)</v>
      </c>
      <c r="B151" s="410" t="s">
        <v>507</v>
      </c>
      <c r="C151" s="413">
        <f>VLOOKUP(B151,'12.ppp data'!$C$3:$J$273,7,FALSE)</f>
        <v>5.315535822941885</v>
      </c>
      <c r="D151" s="413" t="str">
        <f>IF(VLOOKUP(B151,'12.ppp data'!$C$3:$J$273,8,FALSE)="est","est","-")</f>
        <v>-</v>
      </c>
      <c r="E151" s="410" t="s">
        <v>248</v>
      </c>
      <c r="F151" s="413">
        <v>4</v>
      </c>
      <c r="G151" s="413"/>
      <c r="H151" s="365"/>
      <c r="J151" s="410" t="s">
        <v>508</v>
      </c>
    </row>
    <row r="152" spans="1:10" ht="9.75" customHeight="1">
      <c r="A152" s="410" t="str">
        <f>'12.lan'!D469</f>
        <v>MNE Montenegro</v>
      </c>
      <c r="B152" s="410" t="s">
        <v>509</v>
      </c>
      <c r="C152" s="413">
        <f>VLOOKUP(B152,'12.ppp data'!$C$3:$J$273,7,FALSE)</f>
        <v>2.7571504779018072</v>
      </c>
      <c r="D152" s="413" t="str">
        <f>IF(VLOOKUP(B152,'12.ppp data'!$C$3:$J$273,8,FALSE)="est","est","-")</f>
        <v>-</v>
      </c>
      <c r="E152" s="410" t="s">
        <v>254</v>
      </c>
      <c r="F152" s="413">
        <v>2</v>
      </c>
      <c r="G152" s="413" t="s">
        <v>244</v>
      </c>
      <c r="H152" s="365"/>
      <c r="J152" s="410" t="s">
        <v>510</v>
      </c>
    </row>
    <row r="153" spans="1:10" ht="9.75" customHeight="1">
      <c r="A153" s="410" t="str">
        <f>'12.lan'!D470</f>
        <v>MNG Mongolei</v>
      </c>
      <c r="B153" s="410" t="s">
        <v>511</v>
      </c>
      <c r="C153" s="413">
        <f>VLOOKUP(B153,'12.ppp data'!$C$3:$J$273,7,FALSE)</f>
        <v>3.9168356476795716</v>
      </c>
      <c r="D153" s="413" t="str">
        <f>IF(VLOOKUP(B153,'12.ppp data'!$C$3:$J$273,8,FALSE)="est","est","-")</f>
        <v>-</v>
      </c>
      <c r="E153" s="410" t="s">
        <v>248</v>
      </c>
      <c r="F153" s="413">
        <v>4.1785714285714288</v>
      </c>
      <c r="G153" s="413" t="s">
        <v>244</v>
      </c>
      <c r="H153" s="365"/>
      <c r="J153" s="410" t="s">
        <v>512</v>
      </c>
    </row>
    <row r="154" spans="1:10" ht="9.75" customHeight="1">
      <c r="A154" s="410" t="str">
        <f>'12.lan'!D471</f>
        <v>MNP Nördliche Marianen</v>
      </c>
      <c r="B154" s="410" t="s">
        <v>513</v>
      </c>
      <c r="C154" s="413">
        <f>VLOOKUP(B154,'12.ppp data'!$C$3:$J$273,7,FALSE)</f>
        <v>1.3563308370936336</v>
      </c>
      <c r="D154" s="413" t="str">
        <f>IF(VLOOKUP(B154,'12.ppp data'!$C$3:$J$273,8,FALSE)="est","est","-")</f>
        <v>est</v>
      </c>
      <c r="E154" s="410" t="s">
        <v>265</v>
      </c>
      <c r="F154" s="413">
        <v>3</v>
      </c>
      <c r="G154" s="413" t="s">
        <v>244</v>
      </c>
      <c r="H154" s="365"/>
      <c r="J154" s="410" t="s">
        <v>514</v>
      </c>
    </row>
    <row r="155" spans="1:10" ht="9.75" customHeight="1">
      <c r="A155" s="410" t="str">
        <f>'12.lan'!D472</f>
        <v>MOZ Mosambik</v>
      </c>
      <c r="B155" s="410" t="s">
        <v>515</v>
      </c>
      <c r="C155" s="413">
        <f>VLOOKUP(B155,'12.ppp data'!$C$3:$J$273,7,FALSE)</f>
        <v>3.4066898689195604</v>
      </c>
      <c r="D155" s="413" t="str">
        <f>IF(VLOOKUP(B155,'12.ppp data'!$C$3:$J$273,8,FALSE)="est","est","-")</f>
        <v>-</v>
      </c>
      <c r="E155" s="410" t="s">
        <v>251</v>
      </c>
      <c r="F155" s="413">
        <v>3</v>
      </c>
      <c r="G155" s="413"/>
      <c r="H155" s="365"/>
      <c r="J155" s="410" t="s">
        <v>516</v>
      </c>
    </row>
    <row r="156" spans="1:10" ht="9.75" customHeight="1">
      <c r="A156" s="410" t="str">
        <f>'12.lan'!D473</f>
        <v>MRT Mauretanien</v>
      </c>
      <c r="B156" s="410" t="s">
        <v>517</v>
      </c>
      <c r="C156" s="413">
        <f>VLOOKUP(B156,'12.ppp data'!$C$3:$J$273,7,FALSE)</f>
        <v>3.8928547489684506</v>
      </c>
      <c r="D156" s="413" t="str">
        <f>IF(VLOOKUP(B156,'12.ppp data'!$C$3:$J$273,8,FALSE)="est","est","-")</f>
        <v>-</v>
      </c>
      <c r="E156" s="410" t="s">
        <v>251</v>
      </c>
      <c r="F156" s="413">
        <v>3.7083333333333335</v>
      </c>
      <c r="G156" s="413" t="s">
        <v>244</v>
      </c>
      <c r="H156" s="365"/>
      <c r="J156" s="410" t="s">
        <v>518</v>
      </c>
    </row>
    <row r="157" spans="1:10" ht="9.75" customHeight="1">
      <c r="A157" s="410" t="str">
        <f>'12.lan'!D474</f>
        <v>MUS Mauritius</v>
      </c>
      <c r="B157" s="410" t="s">
        <v>519</v>
      </c>
      <c r="C157" s="413">
        <f>VLOOKUP(B157,'12.ppp data'!$C$3:$J$273,7,FALSE)</f>
        <v>2.3010822696567823</v>
      </c>
      <c r="D157" s="413" t="str">
        <f>IF(VLOOKUP(B157,'12.ppp data'!$C$3:$J$273,8,FALSE)="est","est","-")</f>
        <v>-</v>
      </c>
      <c r="E157" s="410" t="s">
        <v>251</v>
      </c>
      <c r="F157" s="413">
        <v>3.7083333333333335</v>
      </c>
      <c r="G157" s="413" t="s">
        <v>244</v>
      </c>
      <c r="H157" s="365"/>
      <c r="J157" s="410" t="s">
        <v>520</v>
      </c>
    </row>
    <row r="158" spans="1:10" ht="9.75" customHeight="1">
      <c r="A158" s="410" t="str">
        <f>'12.lan'!D475</f>
        <v>MWI Malawi</v>
      </c>
      <c r="B158" s="410" t="s">
        <v>521</v>
      </c>
      <c r="C158" s="413">
        <f>VLOOKUP(B158,'12.ppp data'!$C$3:$J$273,7,FALSE)</f>
        <v>3.9493473635874552</v>
      </c>
      <c r="D158" s="413" t="str">
        <f>IF(VLOOKUP(B158,'12.ppp data'!$C$3:$J$273,8,FALSE)="est","est","-")</f>
        <v>-</v>
      </c>
      <c r="E158" s="410" t="s">
        <v>251</v>
      </c>
      <c r="F158" s="413">
        <v>3.7083333333333335</v>
      </c>
      <c r="G158" s="413" t="s">
        <v>244</v>
      </c>
      <c r="H158" s="365"/>
      <c r="J158" s="410" t="s">
        <v>522</v>
      </c>
    </row>
    <row r="159" spans="1:10" ht="9.75" customHeight="1">
      <c r="A159" s="410" t="str">
        <f>'12.lan'!D476</f>
        <v>MYS Malaysia</v>
      </c>
      <c r="B159" s="410" t="s">
        <v>523</v>
      </c>
      <c r="C159" s="413">
        <f>VLOOKUP(B159,'12.ppp data'!$C$3:$J$273,7,FALSE)</f>
        <v>3.3409539086930788</v>
      </c>
      <c r="D159" s="413" t="str">
        <f>IF(VLOOKUP(B159,'12.ppp data'!$C$3:$J$273,8,FALSE)="est","est","-")</f>
        <v>-</v>
      </c>
      <c r="E159" s="410" t="s">
        <v>248</v>
      </c>
      <c r="F159" s="413">
        <v>5</v>
      </c>
      <c r="G159" s="413"/>
      <c r="H159" s="365"/>
      <c r="J159" s="410" t="s">
        <v>524</v>
      </c>
    </row>
    <row r="160" spans="1:10" ht="9.75" customHeight="1">
      <c r="A160" s="410" t="str">
        <f>'12.lan'!D477</f>
        <v>NAM Namibia</v>
      </c>
      <c r="B160" s="410" t="s">
        <v>525</v>
      </c>
      <c r="C160" s="413">
        <f>VLOOKUP(B160,'12.ppp data'!$C$3:$J$273,7,FALSE)</f>
        <v>2.2612227250983215</v>
      </c>
      <c r="D160" s="413" t="str">
        <f>IF(VLOOKUP(B160,'12.ppp data'!$C$3:$J$273,8,FALSE)="est","est","-")</f>
        <v>-</v>
      </c>
      <c r="E160" s="410" t="s">
        <v>251</v>
      </c>
      <c r="F160" s="413">
        <v>3</v>
      </c>
      <c r="G160" s="413"/>
      <c r="H160" s="365"/>
      <c r="J160" s="410" t="s">
        <v>526</v>
      </c>
    </row>
    <row r="161" spans="1:10" ht="9.75" customHeight="1">
      <c r="A161" s="410" t="str">
        <f>'12.lan'!D478</f>
        <v>NCL Neukaledonien</v>
      </c>
      <c r="B161" s="410" t="s">
        <v>527</v>
      </c>
      <c r="C161" s="413">
        <f>VLOOKUP(B161,'12.ppp data'!$C$3:$J$273,7,FALSE)</f>
        <v>1.3563308370936336</v>
      </c>
      <c r="D161" s="413" t="str">
        <f>IF(VLOOKUP(B161,'12.ppp data'!$C$3:$J$273,8,FALSE)="est","est","-")</f>
        <v>est</v>
      </c>
      <c r="E161" s="410" t="s">
        <v>265</v>
      </c>
      <c r="F161" s="413">
        <v>3</v>
      </c>
      <c r="G161" s="413" t="s">
        <v>244</v>
      </c>
      <c r="H161" s="365"/>
      <c r="J161" s="410" t="s">
        <v>528</v>
      </c>
    </row>
    <row r="162" spans="1:10" ht="9.75" customHeight="1">
      <c r="A162" s="410" t="str">
        <f>'12.lan'!D479</f>
        <v>NER Niger</v>
      </c>
      <c r="B162" s="410" t="s">
        <v>529</v>
      </c>
      <c r="C162" s="413">
        <f>VLOOKUP(B162,'12.ppp data'!$C$3:$J$273,7,FALSE)</f>
        <v>3.0345117582886689</v>
      </c>
      <c r="D162" s="413" t="str">
        <f>IF(VLOOKUP(B162,'12.ppp data'!$C$3:$J$273,8,FALSE)="est","est","-")</f>
        <v>-</v>
      </c>
      <c r="E162" s="410" t="s">
        <v>251</v>
      </c>
      <c r="F162" s="413">
        <v>3.7083333333333335</v>
      </c>
      <c r="G162" s="413" t="s">
        <v>244</v>
      </c>
      <c r="H162" s="365"/>
      <c r="J162" s="410" t="s">
        <v>530</v>
      </c>
    </row>
    <row r="163" spans="1:10" ht="9.75" customHeight="1">
      <c r="A163" s="410" t="str">
        <f>'12.lan'!D480</f>
        <v>NGA Nigeria</v>
      </c>
      <c r="B163" s="410" t="s">
        <v>531</v>
      </c>
      <c r="C163" s="413">
        <f>VLOOKUP(B163,'12.ppp data'!$C$3:$J$273,7,FALSE)</f>
        <v>3.6473316344115339</v>
      </c>
      <c r="D163" s="413" t="str">
        <f>IF(VLOOKUP(B163,'12.ppp data'!$C$3:$J$273,8,FALSE)="est","est","-")</f>
        <v>-</v>
      </c>
      <c r="E163" s="410" t="s">
        <v>251</v>
      </c>
      <c r="F163" s="413">
        <v>5</v>
      </c>
      <c r="G163" s="413"/>
      <c r="H163" s="365"/>
      <c r="J163" s="410" t="s">
        <v>532</v>
      </c>
    </row>
    <row r="164" spans="1:10" ht="9.75" customHeight="1">
      <c r="A164" s="410" t="str">
        <f>'12.lan'!D481</f>
        <v>NIC Nicaragua</v>
      </c>
      <c r="B164" s="410" t="s">
        <v>533</v>
      </c>
      <c r="C164" s="413">
        <f>VLOOKUP(B164,'12.ppp data'!$C$3:$J$273,7,FALSE)</f>
        <v>2.9237099041681942</v>
      </c>
      <c r="D164" s="413" t="str">
        <f>IF(VLOOKUP(B164,'12.ppp data'!$C$3:$J$273,8,FALSE)="est","est","-")</f>
        <v>-</v>
      </c>
      <c r="E164" s="410" t="s">
        <v>245</v>
      </c>
      <c r="F164" s="413">
        <v>3.4210526315789473</v>
      </c>
      <c r="G164" s="413" t="s">
        <v>244</v>
      </c>
      <c r="H164" s="365"/>
      <c r="J164" s="410" t="s">
        <v>534</v>
      </c>
    </row>
    <row r="165" spans="1:10" ht="9.75" customHeight="1">
      <c r="A165" s="410" t="str">
        <f>'12.lan'!D482</f>
        <v>NLD Niederlande</v>
      </c>
      <c r="B165" s="410" t="s">
        <v>535</v>
      </c>
      <c r="C165" s="413">
        <f>VLOOKUP(B165,'12.ppp data'!$C$3:$J$273,7,FALSE)</f>
        <v>1.2371414609403513</v>
      </c>
      <c r="D165" s="413" t="str">
        <f>IF(VLOOKUP(B165,'12.ppp data'!$C$3:$J$273,8,FALSE)="est","est","-")</f>
        <v>-</v>
      </c>
      <c r="E165" s="410" t="s">
        <v>254</v>
      </c>
      <c r="F165" s="413">
        <v>1</v>
      </c>
      <c r="G165" s="413"/>
      <c r="H165" s="365"/>
      <c r="J165" s="410" t="s">
        <v>536</v>
      </c>
    </row>
    <row r="166" spans="1:10" ht="9.75" customHeight="1">
      <c r="A166" s="410" t="str">
        <f>'12.lan'!D483</f>
        <v>NOR Norwegen</v>
      </c>
      <c r="B166" s="410" t="s">
        <v>537</v>
      </c>
      <c r="C166" s="413">
        <f>VLOOKUP(B166,'12.ppp data'!$C$3:$J$273,7,FALSE)</f>
        <v>0.91144613113908035</v>
      </c>
      <c r="D166" s="413" t="str">
        <f>IF(VLOOKUP(B166,'12.ppp data'!$C$3:$J$273,8,FALSE)="est","est","-")</f>
        <v>-</v>
      </c>
      <c r="E166" s="410" t="s">
        <v>254</v>
      </c>
      <c r="F166" s="413">
        <v>1</v>
      </c>
      <c r="G166" s="413"/>
      <c r="H166" s="365"/>
      <c r="J166" s="410" t="s">
        <v>538</v>
      </c>
    </row>
    <row r="167" spans="1:10" ht="9.75" customHeight="1">
      <c r="A167" s="410" t="str">
        <f>'12.lan'!D484</f>
        <v>NPL Nepal</v>
      </c>
      <c r="B167" s="410" t="s">
        <v>539</v>
      </c>
      <c r="C167" s="413">
        <f>VLOOKUP(B167,'12.ppp data'!$C$3:$J$273,7,FALSE)</f>
        <v>3.5079000577965997</v>
      </c>
      <c r="D167" s="413" t="str">
        <f>IF(VLOOKUP(B167,'12.ppp data'!$C$3:$J$273,8,FALSE)="est","est","-")</f>
        <v>-</v>
      </c>
      <c r="E167" s="410" t="s">
        <v>248</v>
      </c>
      <c r="F167" s="413">
        <v>4</v>
      </c>
      <c r="G167" s="413"/>
      <c r="H167" s="365"/>
      <c r="J167" s="410" t="s">
        <v>540</v>
      </c>
    </row>
    <row r="168" spans="1:10" ht="9.75" customHeight="1">
      <c r="A168" s="410" t="str">
        <f>'12.lan'!D485</f>
        <v>NRU Nauru</v>
      </c>
      <c r="B168" s="410" t="s">
        <v>541</v>
      </c>
      <c r="C168" s="413">
        <f>VLOOKUP(B168,'12.ppp data'!$C$3:$J$273,7,FALSE)</f>
        <v>1.8860988073359262</v>
      </c>
      <c r="D168" s="413" t="str">
        <f>IF(VLOOKUP(B168,'12.ppp data'!$C$3:$J$273,8,FALSE)="est","est","-")</f>
        <v>-</v>
      </c>
      <c r="E168" s="410" t="s">
        <v>265</v>
      </c>
      <c r="F168" s="413">
        <v>3</v>
      </c>
      <c r="G168" s="413" t="s">
        <v>244</v>
      </c>
      <c r="H168" s="365"/>
      <c r="J168" s="410" t="s">
        <v>542</v>
      </c>
    </row>
    <row r="169" spans="1:10" ht="9.75" customHeight="1">
      <c r="A169" s="410" t="str">
        <f>'12.lan'!D486</f>
        <v>NZL Neuseeland</v>
      </c>
      <c r="B169" s="410" t="s">
        <v>543</v>
      </c>
      <c r="C169" s="413">
        <f>VLOOKUP(B169,'12.ppp data'!$C$3:$J$273,7,FALSE)</f>
        <v>1.0760787421251647</v>
      </c>
      <c r="D169" s="413" t="str">
        <f>IF(VLOOKUP(B169,'12.ppp data'!$C$3:$J$273,8,FALSE)="est","est","-")</f>
        <v>-</v>
      </c>
      <c r="E169" s="410" t="s">
        <v>265</v>
      </c>
      <c r="F169" s="413">
        <v>3</v>
      </c>
      <c r="G169" s="413" t="s">
        <v>244</v>
      </c>
      <c r="H169" s="365"/>
      <c r="J169" s="410" t="s">
        <v>544</v>
      </c>
    </row>
    <row r="170" spans="1:10" ht="9.75" customHeight="1">
      <c r="A170" s="410" t="str">
        <f>'12.lan'!D487</f>
        <v>OMN Oman</v>
      </c>
      <c r="B170" s="410" t="s">
        <v>545</v>
      </c>
      <c r="C170" s="413">
        <f>VLOOKUP(B170,'12.ppp data'!$C$3:$J$273,7,FALSE)</f>
        <v>2.9989492247716245</v>
      </c>
      <c r="D170" s="413" t="str">
        <f>IF(VLOOKUP(B170,'12.ppp data'!$C$3:$J$273,8,FALSE)="est","est","-")</f>
        <v>-</v>
      </c>
      <c r="E170" s="410" t="s">
        <v>248</v>
      </c>
      <c r="F170" s="413">
        <v>4</v>
      </c>
      <c r="G170" s="413"/>
      <c r="H170" s="365"/>
      <c r="J170" s="410" t="s">
        <v>546</v>
      </c>
    </row>
    <row r="171" spans="1:10" ht="9.75" customHeight="1">
      <c r="A171" s="410" t="str">
        <f>'12.lan'!D488</f>
        <v>PAK Pakistan</v>
      </c>
      <c r="B171" s="410" t="s">
        <v>547</v>
      </c>
      <c r="C171" s="413">
        <f>VLOOKUP(B171,'12.ppp data'!$C$3:$J$273,7,FALSE)</f>
        <v>4.0161818085959498</v>
      </c>
      <c r="D171" s="413" t="str">
        <f>IF(VLOOKUP(B171,'12.ppp data'!$C$3:$J$273,8,FALSE)="est","est","-")</f>
        <v>-</v>
      </c>
      <c r="E171" s="410" t="s">
        <v>248</v>
      </c>
      <c r="F171" s="413">
        <v>4</v>
      </c>
      <c r="G171" s="413"/>
      <c r="H171" s="365"/>
      <c r="J171" s="410" t="s">
        <v>548</v>
      </c>
    </row>
    <row r="172" spans="1:10" ht="9.75" customHeight="1">
      <c r="A172" s="410" t="str">
        <f>'12.lan'!D489</f>
        <v>PAN Panama</v>
      </c>
      <c r="B172" s="410" t="s">
        <v>549</v>
      </c>
      <c r="C172" s="413">
        <f>VLOOKUP(B172,'12.ppp data'!$C$3:$J$273,7,FALSE)</f>
        <v>1.8300677990616934</v>
      </c>
      <c r="D172" s="413" t="str">
        <f>IF(VLOOKUP(B172,'12.ppp data'!$C$3:$J$273,8,FALSE)="est","est","-")</f>
        <v>-</v>
      </c>
      <c r="E172" s="410" t="s">
        <v>245</v>
      </c>
      <c r="F172" s="413">
        <v>4</v>
      </c>
      <c r="G172" s="413"/>
      <c r="H172" s="365"/>
      <c r="J172" s="410" t="s">
        <v>550</v>
      </c>
    </row>
    <row r="173" spans="1:10" ht="9.75" customHeight="1">
      <c r="A173" s="410" t="str">
        <f>'12.lan'!D490</f>
        <v>PER Peru</v>
      </c>
      <c r="B173" s="410" t="s">
        <v>551</v>
      </c>
      <c r="C173" s="413">
        <f>VLOOKUP(B173,'12.ppp data'!$C$3:$J$273,7,FALSE)</f>
        <v>2.2821651537971333</v>
      </c>
      <c r="D173" s="413" t="str">
        <f>IF(VLOOKUP(B173,'12.ppp data'!$C$3:$J$273,8,FALSE)="est","est","-")</f>
        <v>-</v>
      </c>
      <c r="E173" s="410" t="s">
        <v>245</v>
      </c>
      <c r="F173" s="413">
        <v>4</v>
      </c>
      <c r="G173" s="413"/>
      <c r="H173" s="365"/>
      <c r="J173" s="410" t="s">
        <v>552</v>
      </c>
    </row>
    <row r="174" spans="1:10" ht="9.75" customHeight="1">
      <c r="A174" s="410" t="str">
        <f>'12.lan'!D491</f>
        <v>PHL Philippinen</v>
      </c>
      <c r="B174" s="410" t="s">
        <v>553</v>
      </c>
      <c r="C174" s="413">
        <f>VLOOKUP(B174,'12.ppp data'!$C$3:$J$273,7,FALSE)</f>
        <v>3.1476986949883816</v>
      </c>
      <c r="D174" s="413" t="str">
        <f>IF(VLOOKUP(B174,'12.ppp data'!$C$3:$J$273,8,FALSE)="est","est","-")</f>
        <v>-</v>
      </c>
      <c r="E174" s="410" t="s">
        <v>248</v>
      </c>
      <c r="F174" s="413">
        <v>5</v>
      </c>
      <c r="G174" s="413"/>
      <c r="H174" s="365"/>
      <c r="J174" s="410" t="s">
        <v>554</v>
      </c>
    </row>
    <row r="175" spans="1:10" ht="9.75" customHeight="1">
      <c r="A175" s="410" t="str">
        <f>'12.lan'!D492</f>
        <v>PLW Palau</v>
      </c>
      <c r="B175" s="410" t="s">
        <v>555</v>
      </c>
      <c r="C175" s="413">
        <f>VLOOKUP(B175,'12.ppp data'!$C$3:$J$273,7,FALSE)</f>
        <v>1.2236683068944152</v>
      </c>
      <c r="D175" s="413" t="str">
        <f>IF(VLOOKUP(B175,'12.ppp data'!$C$3:$J$273,8,FALSE)="est","est","-")</f>
        <v>-</v>
      </c>
      <c r="E175" s="410" t="s">
        <v>265</v>
      </c>
      <c r="F175" s="413">
        <v>3</v>
      </c>
      <c r="G175" s="413" t="s">
        <v>244</v>
      </c>
      <c r="H175" s="365"/>
      <c r="J175" s="410" t="s">
        <v>556</v>
      </c>
    </row>
    <row r="176" spans="1:10" ht="9.75" customHeight="1">
      <c r="A176" s="410" t="str">
        <f>'12.lan'!D493</f>
        <v>PNG Papua-Neuguinea</v>
      </c>
      <c r="B176" s="410" t="s">
        <v>557</v>
      </c>
      <c r="C176" s="413">
        <f>VLOOKUP(B176,'12.ppp data'!$C$3:$J$273,7,FALSE)</f>
        <v>1.8178576569853162</v>
      </c>
      <c r="D176" s="413" t="str">
        <f>IF(VLOOKUP(B176,'12.ppp data'!$C$3:$J$273,8,FALSE)="est","est","-")</f>
        <v>-</v>
      </c>
      <c r="E176" s="410" t="s">
        <v>265</v>
      </c>
      <c r="F176" s="413">
        <v>3</v>
      </c>
      <c r="G176" s="413" t="s">
        <v>244</v>
      </c>
      <c r="H176" s="365"/>
      <c r="J176" s="410" t="s">
        <v>558</v>
      </c>
    </row>
    <row r="177" spans="1:10" ht="9.75" customHeight="1">
      <c r="A177" s="410" t="str">
        <f>'12.lan'!D494</f>
        <v>POL Polen</v>
      </c>
      <c r="B177" s="410" t="s">
        <v>559</v>
      </c>
      <c r="C177" s="413">
        <f>VLOOKUP(B177,'12.ppp data'!$C$3:$J$273,7,FALSE)</f>
        <v>2.3920792098053809</v>
      </c>
      <c r="D177" s="413" t="str">
        <f>IF(VLOOKUP(B177,'12.ppp data'!$C$3:$J$273,8,FALSE)="est","est","-")</f>
        <v>-</v>
      </c>
      <c r="E177" s="410" t="s">
        <v>254</v>
      </c>
      <c r="F177" s="413">
        <v>3</v>
      </c>
      <c r="G177" s="413"/>
      <c r="H177" s="365"/>
      <c r="J177" s="410" t="s">
        <v>560</v>
      </c>
    </row>
    <row r="178" spans="1:10" ht="9.75" customHeight="1">
      <c r="A178" s="410" t="str">
        <f>'12.lan'!D495</f>
        <v>PRI Puerto Rico</v>
      </c>
      <c r="B178" s="410" t="s">
        <v>561</v>
      </c>
      <c r="C178" s="413">
        <f>VLOOKUP(B178,'12.ppp data'!$C$3:$J$273,7,FALSE)</f>
        <v>1.9628994497935313</v>
      </c>
      <c r="D178" s="413" t="str">
        <f>IF(VLOOKUP(B178,'12.ppp data'!$C$3:$J$273,8,FALSE)="est","est","-")</f>
        <v>est</v>
      </c>
      <c r="E178" s="410" t="s">
        <v>245</v>
      </c>
      <c r="F178" s="413">
        <v>3.4210526315789473</v>
      </c>
      <c r="G178" s="413" t="s">
        <v>244</v>
      </c>
      <c r="H178" s="365"/>
      <c r="J178" s="410" t="s">
        <v>562</v>
      </c>
    </row>
    <row r="179" spans="1:10" ht="9.75" customHeight="1">
      <c r="A179" s="410" t="str">
        <f>'12.lan'!D496</f>
        <v>PRK Korea, Demokratische Volksrepublik (Nordkorea)</v>
      </c>
      <c r="B179" s="410" t="s">
        <v>563</v>
      </c>
      <c r="C179" s="413">
        <f>VLOOKUP(B179,'12.ppp data'!$C$3:$J$273,7,FALSE)</f>
        <v>3.0027294367224551</v>
      </c>
      <c r="D179" s="413" t="str">
        <f>IF(VLOOKUP(B179,'12.ppp data'!$C$3:$J$273,8,FALSE)="est","est","-")</f>
        <v>est</v>
      </c>
      <c r="E179" s="410" t="s">
        <v>248</v>
      </c>
      <c r="F179" s="413">
        <v>4.1785714285714288</v>
      </c>
      <c r="G179" s="413" t="s">
        <v>244</v>
      </c>
      <c r="H179" s="365"/>
      <c r="J179" s="410" t="s">
        <v>564</v>
      </c>
    </row>
    <row r="180" spans="1:10" ht="9.75" customHeight="1">
      <c r="A180" s="410" t="str">
        <f>'12.lan'!D497</f>
        <v>PRT Portugal</v>
      </c>
      <c r="B180" s="410" t="s">
        <v>565</v>
      </c>
      <c r="C180" s="413">
        <f>VLOOKUP(B180,'12.ppp data'!$C$3:$J$273,7,FALSE)</f>
        <v>1.7166939907126855</v>
      </c>
      <c r="D180" s="413" t="str">
        <f>IF(VLOOKUP(B180,'12.ppp data'!$C$3:$J$273,8,FALSE)="est","est","-")</f>
        <v>-</v>
      </c>
      <c r="E180" s="410" t="s">
        <v>254</v>
      </c>
      <c r="F180" s="413">
        <v>3</v>
      </c>
      <c r="G180" s="413"/>
      <c r="H180" s="365"/>
      <c r="J180" s="410" t="s">
        <v>566</v>
      </c>
    </row>
    <row r="181" spans="1:10" ht="9.75" customHeight="1">
      <c r="A181" s="410" t="str">
        <f>'12.lan'!D498</f>
        <v>PRY Paraguay</v>
      </c>
      <c r="B181" s="410" t="s">
        <v>567</v>
      </c>
      <c r="C181" s="413">
        <f>VLOOKUP(B181,'12.ppp data'!$C$3:$J$273,7,FALSE)</f>
        <v>2.485477668859331</v>
      </c>
      <c r="D181" s="413" t="str">
        <f>IF(VLOOKUP(B181,'12.ppp data'!$C$3:$J$273,8,FALSE)="est","est","-")</f>
        <v>-</v>
      </c>
      <c r="E181" s="410" t="s">
        <v>245</v>
      </c>
      <c r="F181" s="413">
        <v>3</v>
      </c>
      <c r="G181" s="413"/>
      <c r="H181" s="365"/>
      <c r="J181" s="410" t="s">
        <v>568</v>
      </c>
    </row>
    <row r="182" spans="1:10" ht="9.75" customHeight="1">
      <c r="A182" s="410" t="str">
        <f>'12.lan'!D499</f>
        <v>PSE Palästinensische Autonomiegebiete</v>
      </c>
      <c r="B182" s="410" t="s">
        <v>569</v>
      </c>
      <c r="C182" s="413">
        <f>VLOOKUP(B182,'12.ppp data'!$C$3:$J$273,7,FALSE)</f>
        <v>3.0027294367224551</v>
      </c>
      <c r="D182" s="413" t="str">
        <f>IF(VLOOKUP(B182,'12.ppp data'!$C$3:$J$273,8,FALSE)="est","est","-")</f>
        <v>est</v>
      </c>
      <c r="E182" s="410" t="s">
        <v>248</v>
      </c>
      <c r="F182" s="413">
        <v>4.1785714285714288</v>
      </c>
      <c r="G182" s="413" t="s">
        <v>244</v>
      </c>
      <c r="H182" s="365"/>
      <c r="J182" s="410" t="s">
        <v>570</v>
      </c>
    </row>
    <row r="183" spans="1:10" ht="9.75" customHeight="1">
      <c r="A183" s="410" t="str">
        <f>'12.lan'!D500</f>
        <v>PYF Französisch-Polynesien</v>
      </c>
      <c r="B183" s="410" t="s">
        <v>571</v>
      </c>
      <c r="C183" s="413">
        <f>VLOOKUP(B183,'12.ppp data'!$C$3:$J$273,7,FALSE)</f>
        <v>1.3563308370936336</v>
      </c>
      <c r="D183" s="413" t="str">
        <f>IF(VLOOKUP(B183,'12.ppp data'!$C$3:$J$273,8,FALSE)="est","est","-")</f>
        <v>est</v>
      </c>
      <c r="E183" s="410" t="s">
        <v>265</v>
      </c>
      <c r="F183" s="413">
        <v>3</v>
      </c>
      <c r="G183" s="413" t="s">
        <v>244</v>
      </c>
      <c r="H183" s="365"/>
      <c r="I183" s="412"/>
      <c r="J183" s="410" t="s">
        <v>572</v>
      </c>
    </row>
    <row r="184" spans="1:10" ht="9.75" customHeight="1">
      <c r="A184" s="410" t="str">
        <f>'12.lan'!D501</f>
        <v>QAT Katar</v>
      </c>
      <c r="B184" s="410" t="s">
        <v>573</v>
      </c>
      <c r="C184" s="413">
        <f>VLOOKUP(B184,'12.ppp data'!$C$3:$J$273,7,FALSE)</f>
        <v>2.2754401989982163</v>
      </c>
      <c r="D184" s="413" t="str">
        <f>IF(VLOOKUP(B184,'12.ppp data'!$C$3:$J$273,8,FALSE)="est","est","-")</f>
        <v>-</v>
      </c>
      <c r="E184" s="410" t="s">
        <v>248</v>
      </c>
      <c r="F184" s="413">
        <v>5</v>
      </c>
      <c r="G184" s="413"/>
      <c r="H184" s="365"/>
      <c r="J184" s="410" t="s">
        <v>574</v>
      </c>
    </row>
    <row r="185" spans="1:10" ht="9.75" customHeight="1">
      <c r="A185" s="410" t="str">
        <f>'12.lan'!D502</f>
        <v>ROU Rumänien</v>
      </c>
      <c r="B185" s="410" t="s">
        <v>575</v>
      </c>
      <c r="C185" s="413">
        <f>VLOOKUP(B185,'12.ppp data'!$C$3:$J$273,7,FALSE)</f>
        <v>2.6955722747597277</v>
      </c>
      <c r="D185" s="413" t="str">
        <f>IF(VLOOKUP(B185,'12.ppp data'!$C$3:$J$273,8,FALSE)="est","est","-")</f>
        <v>-</v>
      </c>
      <c r="E185" s="410" t="s">
        <v>254</v>
      </c>
      <c r="F185" s="413">
        <v>3</v>
      </c>
      <c r="G185" s="413"/>
      <c r="H185" s="365"/>
      <c r="J185" s="410" t="s">
        <v>576</v>
      </c>
    </row>
    <row r="186" spans="1:10" ht="9.75" customHeight="1">
      <c r="A186" s="410" t="str">
        <f>'12.lan'!D503</f>
        <v>RUS Russische Föderation</v>
      </c>
      <c r="B186" s="410" t="s">
        <v>577</v>
      </c>
      <c r="C186" s="413">
        <f>VLOOKUP(B186,'12.ppp data'!$C$3:$J$273,7,FALSE)</f>
        <v>2.6821265780186163</v>
      </c>
      <c r="D186" s="413" t="str">
        <f>IF(VLOOKUP(B186,'12.ppp data'!$C$3:$J$273,8,FALSE)="est","est","-")</f>
        <v>-</v>
      </c>
      <c r="E186" s="410" t="s">
        <v>254</v>
      </c>
      <c r="F186" s="413">
        <v>2</v>
      </c>
      <c r="G186" s="413"/>
      <c r="H186" s="365"/>
      <c r="J186" s="410" t="s">
        <v>578</v>
      </c>
    </row>
    <row r="187" spans="1:10" ht="9.75" customHeight="1">
      <c r="A187" s="410" t="str">
        <f>'12.lan'!D504</f>
        <v>RWA Ruanda</v>
      </c>
      <c r="B187" s="410" t="s">
        <v>579</v>
      </c>
      <c r="C187" s="413">
        <f>VLOOKUP(B187,'12.ppp data'!$C$3:$J$273,7,FALSE)</f>
        <v>3.0422872212098131</v>
      </c>
      <c r="D187" s="413" t="str">
        <f>IF(VLOOKUP(B187,'12.ppp data'!$C$3:$J$273,8,FALSE)="est","est","-")</f>
        <v>-</v>
      </c>
      <c r="E187" s="410" t="s">
        <v>251</v>
      </c>
      <c r="F187" s="413">
        <v>3.7083333333333335</v>
      </c>
      <c r="G187" s="413" t="s">
        <v>244</v>
      </c>
      <c r="H187" s="365"/>
      <c r="J187" s="410" t="s">
        <v>580</v>
      </c>
    </row>
    <row r="188" spans="1:10" ht="9.75" customHeight="1">
      <c r="A188" s="410" t="str">
        <f>'12.lan'!D505</f>
        <v>SAU Saudi-Arabien</v>
      </c>
      <c r="B188" s="410" t="s">
        <v>581</v>
      </c>
      <c r="C188" s="413">
        <f>VLOOKUP(B188,'12.ppp data'!$C$3:$J$273,7,FALSE)</f>
        <v>2.9277327693485242</v>
      </c>
      <c r="D188" s="413" t="str">
        <f>IF(VLOOKUP(B188,'12.ppp data'!$C$3:$J$273,8,FALSE)="est","est","-")</f>
        <v>-</v>
      </c>
      <c r="E188" s="410" t="s">
        <v>248</v>
      </c>
      <c r="F188" s="413">
        <v>5</v>
      </c>
      <c r="G188" s="413"/>
      <c r="H188" s="365"/>
      <c r="J188" s="410" t="s">
        <v>582</v>
      </c>
    </row>
    <row r="189" spans="1:10" ht="9.75" customHeight="1">
      <c r="A189" s="410" t="str">
        <f>'12.lan'!D506</f>
        <v>SDN Sudan</v>
      </c>
      <c r="B189" s="410" t="s">
        <v>583</v>
      </c>
      <c r="C189" s="413">
        <f>VLOOKUP(B189,'12.ppp data'!$C$3:$J$273,7,FALSE)</f>
        <v>1.8034320862418214</v>
      </c>
      <c r="D189" s="413" t="str">
        <f>IF(VLOOKUP(B189,'12.ppp data'!$C$3:$J$273,8,FALSE)="est","est","-")</f>
        <v>-</v>
      </c>
      <c r="E189" s="410" t="s">
        <v>251</v>
      </c>
      <c r="F189" s="413">
        <v>6</v>
      </c>
      <c r="G189" s="413"/>
      <c r="H189" s="365"/>
      <c r="J189" s="410" t="s">
        <v>584</v>
      </c>
    </row>
    <row r="190" spans="1:10" ht="9.75" customHeight="1">
      <c r="A190" s="410" t="str">
        <f>'12.lan'!D507</f>
        <v>SEN Senegal</v>
      </c>
      <c r="B190" s="410" t="s">
        <v>585</v>
      </c>
      <c r="C190" s="413">
        <f>VLOOKUP(B190,'12.ppp data'!$C$3:$J$273,7,FALSE)</f>
        <v>2.9628383355975485</v>
      </c>
      <c r="D190" s="413" t="str">
        <f>IF(VLOOKUP(B190,'12.ppp data'!$C$3:$J$273,8,FALSE)="est","est","-")</f>
        <v>-</v>
      </c>
      <c r="E190" s="410" t="s">
        <v>251</v>
      </c>
      <c r="F190" s="413">
        <v>2</v>
      </c>
      <c r="G190" s="413"/>
      <c r="H190" s="365"/>
      <c r="J190" s="410" t="s">
        <v>586</v>
      </c>
    </row>
    <row r="191" spans="1:10" ht="9.75" customHeight="1">
      <c r="A191" s="410" t="str">
        <f>'12.lan'!D508</f>
        <v>SGP Singapur</v>
      </c>
      <c r="B191" s="410" t="s">
        <v>587</v>
      </c>
      <c r="C191" s="413">
        <f>VLOOKUP(B191,'12.ppp data'!$C$3:$J$273,7,FALSE)</f>
        <v>1.8374841917124456</v>
      </c>
      <c r="D191" s="413" t="str">
        <f>IF(VLOOKUP(B191,'12.ppp data'!$C$3:$J$273,8,FALSE)="est","est","-")</f>
        <v>-</v>
      </c>
      <c r="E191" s="410" t="s">
        <v>248</v>
      </c>
      <c r="F191" s="413">
        <v>3</v>
      </c>
      <c r="G191" s="413"/>
      <c r="H191" s="365"/>
      <c r="J191" s="410" t="s">
        <v>588</v>
      </c>
    </row>
    <row r="192" spans="1:10" ht="9.75" customHeight="1">
      <c r="A192" s="410" t="str">
        <f>'12.lan'!D509</f>
        <v>SLB Salomonen</v>
      </c>
      <c r="B192" s="410" t="s">
        <v>589</v>
      </c>
      <c r="C192" s="413">
        <f>VLOOKUP(B192,'12.ppp data'!$C$3:$J$273,7,FALSE)</f>
        <v>1.2437936553501536</v>
      </c>
      <c r="D192" s="413" t="str">
        <f>IF(VLOOKUP(B192,'12.ppp data'!$C$3:$J$273,8,FALSE)="est","est","-")</f>
        <v>-</v>
      </c>
      <c r="E192" s="410" t="s">
        <v>265</v>
      </c>
      <c r="F192" s="413">
        <v>3</v>
      </c>
      <c r="G192" s="413" t="s">
        <v>244</v>
      </c>
      <c r="H192" s="365"/>
      <c r="J192" s="410" t="s">
        <v>590</v>
      </c>
    </row>
    <row r="193" spans="1:10" ht="9.75" customHeight="1">
      <c r="A193" s="410" t="str">
        <f>'12.lan'!D510</f>
        <v>SLE Sierra Leone</v>
      </c>
      <c r="B193" s="410" t="s">
        <v>591</v>
      </c>
      <c r="C193" s="413">
        <f>VLOOKUP(B193,'12.ppp data'!$C$3:$J$273,7,FALSE)</f>
        <v>3.5180741592103839</v>
      </c>
      <c r="D193" s="413" t="str">
        <f>IF(VLOOKUP(B193,'12.ppp data'!$C$3:$J$273,8,FALSE)="est","est","-")</f>
        <v>-</v>
      </c>
      <c r="E193" s="410" t="s">
        <v>251</v>
      </c>
      <c r="F193" s="413">
        <v>3.7083333333333335</v>
      </c>
      <c r="G193" s="413" t="s">
        <v>244</v>
      </c>
      <c r="H193" s="365"/>
      <c r="J193" s="410" t="s">
        <v>592</v>
      </c>
    </row>
    <row r="194" spans="1:10" ht="9.75" customHeight="1">
      <c r="A194" s="410" t="str">
        <f>'12.lan'!D511</f>
        <v>SLV El Salvador</v>
      </c>
      <c r="B194" s="410" t="s">
        <v>593</v>
      </c>
      <c r="C194" s="413">
        <f>VLOOKUP(B194,'12.ppp data'!$C$3:$J$273,7,FALSE)</f>
        <v>2.3250310954896238</v>
      </c>
      <c r="D194" s="413" t="str">
        <f>IF(VLOOKUP(B194,'12.ppp data'!$C$3:$J$273,8,FALSE)="est","est","-")</f>
        <v>-</v>
      </c>
      <c r="E194" s="410" t="s">
        <v>245</v>
      </c>
      <c r="F194" s="413">
        <v>4</v>
      </c>
      <c r="G194" s="413"/>
      <c r="H194" s="365"/>
      <c r="J194" s="410" t="s">
        <v>594</v>
      </c>
    </row>
    <row r="195" spans="1:10" ht="9.75" customHeight="1">
      <c r="A195" s="410" t="str">
        <f>'12.lan'!D512</f>
        <v>SMR San Marino</v>
      </c>
      <c r="B195" s="410" t="s">
        <v>595</v>
      </c>
      <c r="C195" s="413">
        <f>VLOOKUP(B195,'12.ppp data'!$C$3:$J$273,7,FALSE)</f>
        <v>1.4164511818660801</v>
      </c>
      <c r="D195" s="413" t="str">
        <f>IF(VLOOKUP(B195,'12.ppp data'!$C$3:$J$273,8,FALSE)="est","est","-")</f>
        <v>-</v>
      </c>
      <c r="E195" s="410" t="s">
        <v>254</v>
      </c>
      <c r="F195" s="413">
        <v>2</v>
      </c>
      <c r="G195" s="413" t="s">
        <v>244</v>
      </c>
      <c r="H195" s="365"/>
      <c r="J195" s="410" t="s">
        <v>596</v>
      </c>
    </row>
    <row r="196" spans="1:10" ht="9.75" customHeight="1">
      <c r="A196" s="410" t="str">
        <f>'12.lan'!D513</f>
        <v>SOM Somalia</v>
      </c>
      <c r="B196" s="410" t="s">
        <v>597</v>
      </c>
      <c r="C196" s="413">
        <f>VLOOKUP(B196,'12.ppp data'!$C$3:$J$273,7,FALSE)</f>
        <v>3.0325616327831186</v>
      </c>
      <c r="D196" s="413" t="str">
        <f>IF(VLOOKUP(B196,'12.ppp data'!$C$3:$J$273,8,FALSE)="est","est","-")</f>
        <v>est</v>
      </c>
      <c r="E196" s="410" t="s">
        <v>251</v>
      </c>
      <c r="F196" s="413">
        <v>3.7083333333333335</v>
      </c>
      <c r="G196" s="413" t="s">
        <v>244</v>
      </c>
      <c r="H196" s="365"/>
      <c r="J196" s="410" t="s">
        <v>598</v>
      </c>
    </row>
    <row r="197" spans="1:10" ht="9.75" customHeight="1">
      <c r="A197" s="410" t="str">
        <f>'12.lan'!D514</f>
        <v>SRB Serbien</v>
      </c>
      <c r="B197" s="410" t="s">
        <v>599</v>
      </c>
      <c r="C197" s="413">
        <f>VLOOKUP(B197,'12.ppp data'!$C$3:$J$273,7,FALSE)</f>
        <v>2.879187934678324</v>
      </c>
      <c r="D197" s="413" t="str">
        <f>IF(VLOOKUP(B197,'12.ppp data'!$C$3:$J$273,8,FALSE)="est","est","-")</f>
        <v>-</v>
      </c>
      <c r="E197" s="410" t="s">
        <v>254</v>
      </c>
      <c r="F197" s="413">
        <v>2</v>
      </c>
      <c r="G197" s="413"/>
      <c r="H197" s="365"/>
      <c r="J197" s="410" t="s">
        <v>600</v>
      </c>
    </row>
    <row r="198" spans="1:10" ht="9.75" customHeight="1">
      <c r="A198" s="410" t="str">
        <f>'12.lan'!D515</f>
        <v>SSD Südsudan</v>
      </c>
      <c r="B198" s="410" t="s">
        <v>601</v>
      </c>
      <c r="C198" s="413">
        <f>VLOOKUP(B198,'12.ppp data'!$C$3:$J$273,7,FALSE)</f>
        <v>3.0325616327831186</v>
      </c>
      <c r="D198" s="413" t="str">
        <f>IF(VLOOKUP(B198,'12.ppp data'!$C$3:$J$273,8,FALSE)="est","est","-")</f>
        <v>est</v>
      </c>
      <c r="E198" s="410" t="s">
        <v>251</v>
      </c>
      <c r="F198" s="413">
        <v>3.7083333333333335</v>
      </c>
      <c r="G198" s="413" t="s">
        <v>244</v>
      </c>
      <c r="H198" s="365"/>
      <c r="J198" s="410" t="s">
        <v>602</v>
      </c>
    </row>
    <row r="199" spans="1:10" ht="9.75" customHeight="1">
      <c r="A199" s="410" t="str">
        <f>'12.lan'!D516</f>
        <v>STP São Tomé und Príncipe</v>
      </c>
      <c r="B199" s="410" t="s">
        <v>603</v>
      </c>
      <c r="C199" s="413">
        <f>VLOOKUP(B199,'12.ppp data'!$C$3:$J$273,7,FALSE)</f>
        <v>3.0325616327831186</v>
      </c>
      <c r="D199" s="413" t="str">
        <f>IF(VLOOKUP(B199,'12.ppp data'!$C$3:$J$273,8,FALSE)="est","est","-")</f>
        <v>est</v>
      </c>
      <c r="E199" s="410" t="s">
        <v>251</v>
      </c>
      <c r="F199" s="413">
        <v>3.7083333333333335</v>
      </c>
      <c r="G199" s="413" t="s">
        <v>244</v>
      </c>
      <c r="H199" s="365"/>
      <c r="J199" s="410" t="s">
        <v>604</v>
      </c>
    </row>
    <row r="200" spans="1:10" ht="9.75" customHeight="1">
      <c r="A200" s="410" t="str">
        <f>'12.lan'!D517</f>
        <v>SUR Suriname</v>
      </c>
      <c r="B200" s="410" t="s">
        <v>605</v>
      </c>
      <c r="C200" s="413">
        <f>VLOOKUP(B200,'12.ppp data'!$C$3:$J$273,7,FALSE)</f>
        <v>2.8687339203446278</v>
      </c>
      <c r="D200" s="413" t="str">
        <f>IF(VLOOKUP(B200,'12.ppp data'!$C$3:$J$273,8,FALSE)="est","est","-")</f>
        <v>-</v>
      </c>
      <c r="E200" s="410" t="s">
        <v>245</v>
      </c>
      <c r="F200" s="413">
        <v>3.4210526315789473</v>
      </c>
      <c r="G200" s="413" t="s">
        <v>244</v>
      </c>
      <c r="H200" s="365"/>
      <c r="J200" s="410" t="s">
        <v>606</v>
      </c>
    </row>
    <row r="201" spans="1:10" ht="9.75" customHeight="1">
      <c r="A201" s="410" t="str">
        <f>'12.lan'!D518</f>
        <v>SVK Slowakei</v>
      </c>
      <c r="B201" s="410" t="s">
        <v>607</v>
      </c>
      <c r="C201" s="413">
        <f>VLOOKUP(B201,'12.ppp data'!$C$3:$J$273,7,FALSE)</f>
        <v>2.0553886123249323</v>
      </c>
      <c r="D201" s="413" t="str">
        <f>IF(VLOOKUP(B201,'12.ppp data'!$C$3:$J$273,8,FALSE)="est","est","-")</f>
        <v>-</v>
      </c>
      <c r="E201" s="410" t="s">
        <v>254</v>
      </c>
      <c r="F201" s="413">
        <v>1</v>
      </c>
      <c r="G201" s="413"/>
      <c r="H201" s="365"/>
      <c r="J201" s="410" t="s">
        <v>608</v>
      </c>
    </row>
    <row r="202" spans="1:10" ht="9.75" customHeight="1">
      <c r="A202" s="410" t="str">
        <f>'12.lan'!D519</f>
        <v>SVN Slowenien</v>
      </c>
      <c r="B202" s="410" t="s">
        <v>609</v>
      </c>
      <c r="C202" s="413">
        <f>VLOOKUP(B202,'12.ppp data'!$C$3:$J$273,7,FALSE)</f>
        <v>1.6619550241731358</v>
      </c>
      <c r="D202" s="413" t="str">
        <f>IF(VLOOKUP(B202,'12.ppp data'!$C$3:$J$273,8,FALSE)="est","est","-")</f>
        <v>-</v>
      </c>
      <c r="E202" s="410" t="s">
        <v>254</v>
      </c>
      <c r="F202" s="413">
        <v>1</v>
      </c>
      <c r="G202" s="413"/>
      <c r="H202" s="365"/>
      <c r="J202" s="410" t="s">
        <v>610</v>
      </c>
    </row>
    <row r="203" spans="1:10" ht="9.75" customHeight="1">
      <c r="A203" s="410" t="str">
        <f>'12.lan'!D520</f>
        <v>SWE Schweden</v>
      </c>
      <c r="B203" s="410" t="s">
        <v>611</v>
      </c>
      <c r="C203" s="413">
        <f>VLOOKUP(B203,'12.ppp data'!$C$3:$J$273,7,FALSE)</f>
        <v>1.0572364232401117</v>
      </c>
      <c r="D203" s="413" t="str">
        <f>IF(VLOOKUP(B203,'12.ppp data'!$C$3:$J$273,8,FALSE)="est","est","-")</f>
        <v>-</v>
      </c>
      <c r="E203" s="410" t="s">
        <v>254</v>
      </c>
      <c r="F203" s="413">
        <v>1</v>
      </c>
      <c r="G203" s="413"/>
      <c r="H203" s="365"/>
      <c r="J203" s="410" t="s">
        <v>612</v>
      </c>
    </row>
    <row r="204" spans="1:10" ht="9.75" customHeight="1">
      <c r="A204" s="410" t="str">
        <f>'12.lan'!D521</f>
        <v>SWZ Swasiland</v>
      </c>
      <c r="B204" s="410" t="s">
        <v>613</v>
      </c>
      <c r="C204" s="413">
        <f>VLOOKUP(B204,'12.ppp data'!$C$3:$J$273,7,FALSE)</f>
        <v>2.9684852436677032</v>
      </c>
      <c r="D204" s="413" t="str">
        <f>IF(VLOOKUP(B204,'12.ppp data'!$C$3:$J$273,8,FALSE)="est","est","-")</f>
        <v>-</v>
      </c>
      <c r="E204" s="410" t="s">
        <v>251</v>
      </c>
      <c r="F204" s="413">
        <v>3.7083333333333335</v>
      </c>
      <c r="G204" s="413" t="s">
        <v>244</v>
      </c>
      <c r="H204" s="365"/>
      <c r="J204" s="410" t="s">
        <v>614</v>
      </c>
    </row>
    <row r="205" spans="1:10" ht="9.75" customHeight="1">
      <c r="A205" s="410" t="str">
        <f>'12.lan'!D522</f>
        <v>SXM Sint Maarten (niederl. Teil)</v>
      </c>
      <c r="B205" s="410" t="s">
        <v>615</v>
      </c>
      <c r="C205" s="413">
        <f>VLOOKUP(B205,'12.ppp data'!$C$3:$J$273,7,FALSE)</f>
        <v>1.9628994497935313</v>
      </c>
      <c r="D205" s="413" t="str">
        <f>IF(VLOOKUP(B205,'12.ppp data'!$C$3:$J$273,8,FALSE)="est","est","-")</f>
        <v>est</v>
      </c>
      <c r="E205" s="410" t="s">
        <v>245</v>
      </c>
      <c r="F205" s="413">
        <v>3.4210526315789473</v>
      </c>
      <c r="G205" s="413" t="s">
        <v>244</v>
      </c>
      <c r="H205" s="365"/>
      <c r="I205" s="412"/>
      <c r="J205" s="410" t="s">
        <v>616</v>
      </c>
    </row>
    <row r="206" spans="1:10" ht="9.75" customHeight="1">
      <c r="A206" s="410" t="str">
        <f>'12.lan'!D523</f>
        <v>SYC Seychellen</v>
      </c>
      <c r="B206" s="410" t="s">
        <v>617</v>
      </c>
      <c r="C206" s="413">
        <f>VLOOKUP(B206,'12.ppp data'!$C$3:$J$273,7,FALSE)</f>
        <v>1.9670340451638095</v>
      </c>
      <c r="D206" s="413" t="str">
        <f>IF(VLOOKUP(B206,'12.ppp data'!$C$3:$J$273,8,FALSE)="est","est","-")</f>
        <v>-</v>
      </c>
      <c r="E206" s="410" t="s">
        <v>251</v>
      </c>
      <c r="F206" s="413">
        <v>3.7083333333333335</v>
      </c>
      <c r="G206" s="413" t="s">
        <v>244</v>
      </c>
      <c r="H206" s="365"/>
      <c r="J206" s="410" t="s">
        <v>618</v>
      </c>
    </row>
    <row r="207" spans="1:10" ht="9.75" customHeight="1">
      <c r="A207" s="410" t="str">
        <f>'12.lan'!D524</f>
        <v>SYR Syrien, Arabische Republik</v>
      </c>
      <c r="B207" s="410" t="s">
        <v>619</v>
      </c>
      <c r="C207" s="413">
        <f>VLOOKUP(B207,'12.ppp data'!$C$3:$J$273,7,FALSE)</f>
        <v>3.0027294367224551</v>
      </c>
      <c r="D207" s="413" t="str">
        <f>IF(VLOOKUP(B207,'12.ppp data'!$C$3:$J$273,8,FALSE)="est","est","-")</f>
        <v>est</v>
      </c>
      <c r="E207" s="410" t="s">
        <v>248</v>
      </c>
      <c r="F207" s="413">
        <v>4.1785714285714288</v>
      </c>
      <c r="G207" s="413" t="s">
        <v>244</v>
      </c>
      <c r="H207" s="365"/>
      <c r="J207" s="410" t="s">
        <v>620</v>
      </c>
    </row>
    <row r="208" spans="1:10" ht="9.75" customHeight="1">
      <c r="A208" s="410" t="str">
        <f>'12.lan'!D525</f>
        <v>TCA Turks- und Caicosinseln</v>
      </c>
      <c r="B208" s="410" t="s">
        <v>621</v>
      </c>
      <c r="C208" s="413">
        <f>VLOOKUP(B208,'12.ppp data'!$C$3:$J$273,7,FALSE)</f>
        <v>1.9628994497935313</v>
      </c>
      <c r="D208" s="413" t="str">
        <f>IF(VLOOKUP(B208,'12.ppp data'!$C$3:$J$273,8,FALSE)="est","est","-")</f>
        <v>est</v>
      </c>
      <c r="E208" s="410" t="s">
        <v>245</v>
      </c>
      <c r="F208" s="413">
        <v>3.4210526315789473</v>
      </c>
      <c r="G208" s="413" t="s">
        <v>244</v>
      </c>
      <c r="H208" s="365"/>
      <c r="J208" s="410" t="s">
        <v>622</v>
      </c>
    </row>
    <row r="209" spans="1:10" ht="9.75" customHeight="1">
      <c r="A209" s="410" t="str">
        <f>'12.lan'!D526</f>
        <v>TCD Tschad</v>
      </c>
      <c r="B209" s="410" t="s">
        <v>623</v>
      </c>
      <c r="C209" s="413">
        <f>VLOOKUP(B209,'12.ppp data'!$C$3:$J$273,7,FALSE)</f>
        <v>3.2719238069892578</v>
      </c>
      <c r="D209" s="413" t="str">
        <f>IF(VLOOKUP(B209,'12.ppp data'!$C$3:$J$273,8,FALSE)="est","est","-")</f>
        <v>-</v>
      </c>
      <c r="E209" s="410" t="s">
        <v>251</v>
      </c>
      <c r="F209" s="413">
        <v>3</v>
      </c>
      <c r="G209" s="413"/>
      <c r="H209" s="365"/>
      <c r="J209" s="410" t="s">
        <v>624</v>
      </c>
    </row>
    <row r="210" spans="1:10" ht="9.75" customHeight="1">
      <c r="A210" s="410" t="str">
        <f>'12.lan'!D527</f>
        <v>TGO Togo</v>
      </c>
      <c r="B210" s="410" t="s">
        <v>625</v>
      </c>
      <c r="C210" s="413">
        <f>VLOOKUP(B210,'12.ppp data'!$C$3:$J$273,7,FALSE)</f>
        <v>2.8701773324680016</v>
      </c>
      <c r="D210" s="413" t="str">
        <f>IF(VLOOKUP(B210,'12.ppp data'!$C$3:$J$273,8,FALSE)="est","est","-")</f>
        <v>-</v>
      </c>
      <c r="E210" s="410" t="s">
        <v>251</v>
      </c>
      <c r="F210" s="413">
        <v>3.7083333333333335</v>
      </c>
      <c r="G210" s="413" t="s">
        <v>244</v>
      </c>
      <c r="H210" s="365"/>
      <c r="J210" s="410" t="s">
        <v>626</v>
      </c>
    </row>
    <row r="211" spans="1:10" ht="9.75" customHeight="1">
      <c r="A211" s="410" t="str">
        <f>'12.lan'!D528</f>
        <v>THA Thailand</v>
      </c>
      <c r="B211" s="410" t="s">
        <v>627</v>
      </c>
      <c r="C211" s="413">
        <f>VLOOKUP(B211,'12.ppp data'!$C$3:$J$273,7,FALSE)</f>
        <v>3.0545723851265998</v>
      </c>
      <c r="D211" s="413" t="str">
        <f>IF(VLOOKUP(B211,'12.ppp data'!$C$3:$J$273,8,FALSE)="est","est","-")</f>
        <v>-</v>
      </c>
      <c r="E211" s="410" t="s">
        <v>248</v>
      </c>
      <c r="F211" s="413">
        <v>4</v>
      </c>
      <c r="G211" s="413"/>
      <c r="H211" s="365"/>
      <c r="J211" s="410" t="s">
        <v>628</v>
      </c>
    </row>
    <row r="212" spans="1:10" ht="9.75" customHeight="1">
      <c r="A212" s="410" t="str">
        <f>'12.lan'!D529</f>
        <v>TJK Tadschikistan</v>
      </c>
      <c r="B212" s="410" t="s">
        <v>629</v>
      </c>
      <c r="C212" s="413">
        <f>VLOOKUP(B212,'12.ppp data'!$C$3:$J$273,7,FALSE)</f>
        <v>4.4544480905092065</v>
      </c>
      <c r="D212" s="413" t="str">
        <f>IF(VLOOKUP(B212,'12.ppp data'!$C$3:$J$273,8,FALSE)="est","est","-")</f>
        <v>-</v>
      </c>
      <c r="E212" s="410" t="s">
        <v>248</v>
      </c>
      <c r="F212" s="413">
        <v>4.1785714285714288</v>
      </c>
      <c r="G212" s="413" t="s">
        <v>244</v>
      </c>
      <c r="H212" s="365"/>
      <c r="J212" s="410" t="s">
        <v>630</v>
      </c>
    </row>
    <row r="213" spans="1:10" ht="9.75" customHeight="1">
      <c r="A213" s="410" t="str">
        <f>'12.lan'!D530</f>
        <v>TKM Turkmenistan</v>
      </c>
      <c r="B213" s="410" t="s">
        <v>631</v>
      </c>
      <c r="C213" s="413">
        <f>VLOOKUP(B213,'12.ppp data'!$C$3:$J$273,7,FALSE)</f>
        <v>2.6928641663820763</v>
      </c>
      <c r="D213" s="413" t="str">
        <f>IF(VLOOKUP(B213,'12.ppp data'!$C$3:$J$273,8,FALSE)="est","est","-")</f>
        <v>-</v>
      </c>
      <c r="E213" s="410" t="s">
        <v>248</v>
      </c>
      <c r="F213" s="413">
        <v>4.1785714285714288</v>
      </c>
      <c r="G213" s="413" t="s">
        <v>244</v>
      </c>
      <c r="H213" s="365"/>
      <c r="J213" s="410" t="s">
        <v>632</v>
      </c>
    </row>
    <row r="214" spans="1:10" ht="9.75" customHeight="1">
      <c r="A214" s="410" t="str">
        <f>'12.lan'!D531</f>
        <v>TLS Osttimor (Timor-Leste)</v>
      </c>
      <c r="B214" s="410" t="s">
        <v>633</v>
      </c>
      <c r="C214" s="413">
        <f>VLOOKUP(B214,'12.ppp data'!$C$3:$J$273,7,FALSE)</f>
        <v>3.5744298356102879</v>
      </c>
      <c r="D214" s="413" t="str">
        <f>IF(VLOOKUP(B214,'12.ppp data'!$C$3:$J$273,8,FALSE)="est","est","-")</f>
        <v>-</v>
      </c>
      <c r="E214" s="410" t="s">
        <v>248</v>
      </c>
      <c r="F214" s="413">
        <v>4.1785714285714288</v>
      </c>
      <c r="G214" s="413" t="s">
        <v>244</v>
      </c>
      <c r="H214" s="365"/>
      <c r="J214" s="410" t="s">
        <v>634</v>
      </c>
    </row>
    <row r="215" spans="1:10" ht="9.75" customHeight="1">
      <c r="A215" s="410" t="str">
        <f>'12.lan'!D532</f>
        <v>TON Tonga</v>
      </c>
      <c r="B215" s="410" t="s">
        <v>635</v>
      </c>
      <c r="C215" s="413">
        <f>VLOOKUP(B215,'12.ppp data'!$C$3:$J$273,7,FALSE)</f>
        <v>1.7488285625957432</v>
      </c>
      <c r="D215" s="413" t="str">
        <f>IF(VLOOKUP(B215,'12.ppp data'!$C$3:$J$273,8,FALSE)="est","est","-")</f>
        <v>-</v>
      </c>
      <c r="E215" s="410" t="s">
        <v>265</v>
      </c>
      <c r="F215" s="413">
        <v>3</v>
      </c>
      <c r="G215" s="413" t="s">
        <v>244</v>
      </c>
      <c r="H215" s="365"/>
      <c r="J215" s="410" t="s">
        <v>636</v>
      </c>
    </row>
    <row r="216" spans="1:10" ht="9.75" customHeight="1">
      <c r="A216" s="410" t="str">
        <f>'12.lan'!D533</f>
        <v>TTO Trinidad und Tobago</v>
      </c>
      <c r="B216" s="410" t="s">
        <v>637</v>
      </c>
      <c r="C216" s="413">
        <f>VLOOKUP(B216,'12.ppp data'!$C$3:$J$273,7,FALSE)</f>
        <v>2.1624826708370994</v>
      </c>
      <c r="D216" s="413" t="str">
        <f>IF(VLOOKUP(B216,'12.ppp data'!$C$3:$J$273,8,FALSE)="est","est","-")</f>
        <v>-</v>
      </c>
      <c r="E216" s="410" t="s">
        <v>245</v>
      </c>
      <c r="F216" s="413">
        <v>3.4210526315789473</v>
      </c>
      <c r="G216" s="413" t="s">
        <v>244</v>
      </c>
      <c r="H216" s="365"/>
      <c r="J216" s="410" t="s">
        <v>638</v>
      </c>
    </row>
    <row r="217" spans="1:10" ht="9.75" customHeight="1">
      <c r="A217" s="410" t="str">
        <f>'12.lan'!D534</f>
        <v>TUN Tunesien</v>
      </c>
      <c r="B217" s="410" t="s">
        <v>639</v>
      </c>
      <c r="C217" s="413">
        <f>VLOOKUP(B217,'12.ppp data'!$C$3:$J$273,7,FALSE)</f>
        <v>3.8129934750178731</v>
      </c>
      <c r="D217" s="413" t="str">
        <f>IF(VLOOKUP(B217,'12.ppp data'!$C$3:$J$273,8,FALSE)="est","est","-")</f>
        <v>-</v>
      </c>
      <c r="E217" s="410" t="s">
        <v>251</v>
      </c>
      <c r="F217" s="413">
        <v>3.7083333333333335</v>
      </c>
      <c r="G217" s="413" t="s">
        <v>244</v>
      </c>
      <c r="H217" s="365"/>
      <c r="J217" s="410" t="s">
        <v>640</v>
      </c>
    </row>
    <row r="218" spans="1:10" ht="9.75" customHeight="1">
      <c r="A218" s="410" t="str">
        <f>'12.lan'!D535</f>
        <v>TUR Türkei</v>
      </c>
      <c r="B218" s="410" t="s">
        <v>641</v>
      </c>
      <c r="C218" s="413">
        <f>VLOOKUP(B218,'12.ppp data'!$C$3:$J$273,7,FALSE)</f>
        <v>2.9874610343826231</v>
      </c>
      <c r="D218" s="413" t="str">
        <f>IF(VLOOKUP(B218,'12.ppp data'!$C$3:$J$273,8,FALSE)="est","est","-")</f>
        <v>-</v>
      </c>
      <c r="E218" s="410" t="s">
        <v>248</v>
      </c>
      <c r="F218" s="413">
        <v>5</v>
      </c>
      <c r="G218" s="413"/>
      <c r="H218" s="365"/>
      <c r="J218" s="410" t="s">
        <v>642</v>
      </c>
    </row>
    <row r="219" spans="1:10" ht="9.75" customHeight="1">
      <c r="A219" s="410" t="str">
        <f>'12.lan'!D536</f>
        <v>TUV Tuvalu</v>
      </c>
      <c r="B219" s="410" t="s">
        <v>643</v>
      </c>
      <c r="C219" s="413">
        <f>VLOOKUP(B219,'12.ppp data'!$C$3:$J$273,7,FALSE)</f>
        <v>1.2579217777236158</v>
      </c>
      <c r="D219" s="413" t="str">
        <f>IF(VLOOKUP(B219,'12.ppp data'!$C$3:$J$273,8,FALSE)="est","est","-")</f>
        <v>-</v>
      </c>
      <c r="E219" s="410" t="s">
        <v>265</v>
      </c>
      <c r="F219" s="413">
        <v>3</v>
      </c>
      <c r="G219" s="413" t="s">
        <v>244</v>
      </c>
      <c r="H219" s="365"/>
      <c r="J219" s="410" t="s">
        <v>644</v>
      </c>
    </row>
    <row r="220" spans="1:10" ht="9.75" customHeight="1">
      <c r="A220" s="410" t="str">
        <f>'12.lan'!D537</f>
        <v>TZA Tansania, Vereinigte Republik</v>
      </c>
      <c r="B220" s="410" t="s">
        <v>645</v>
      </c>
      <c r="C220" s="413">
        <f>VLOOKUP(B220,'12.ppp data'!$C$3:$J$273,7,FALSE)</f>
        <v>3.5139329251773668</v>
      </c>
      <c r="D220" s="413" t="str">
        <f>IF(VLOOKUP(B220,'12.ppp data'!$C$3:$J$273,8,FALSE)="est","est","-")</f>
        <v>-</v>
      </c>
      <c r="E220" s="410" t="s">
        <v>251</v>
      </c>
      <c r="F220" s="413">
        <v>3</v>
      </c>
      <c r="G220" s="413"/>
      <c r="H220" s="365"/>
      <c r="J220" s="410" t="s">
        <v>646</v>
      </c>
    </row>
    <row r="221" spans="1:10" ht="9.75" customHeight="1">
      <c r="A221" s="410" t="str">
        <f>'12.lan'!D538</f>
        <v>UGA Uganda</v>
      </c>
      <c r="B221" s="410" t="s">
        <v>647</v>
      </c>
      <c r="C221" s="413">
        <f>VLOOKUP(B221,'12.ppp data'!$C$3:$J$273,7,FALSE)</f>
        <v>3.5283370555202107</v>
      </c>
      <c r="D221" s="413" t="str">
        <f>IF(VLOOKUP(B221,'12.ppp data'!$C$3:$J$273,8,FALSE)="est","est","-")</f>
        <v>-</v>
      </c>
      <c r="E221" s="410" t="s">
        <v>251</v>
      </c>
      <c r="F221" s="413">
        <v>3</v>
      </c>
      <c r="G221" s="413"/>
      <c r="H221" s="365"/>
      <c r="J221" s="410" t="s">
        <v>648</v>
      </c>
    </row>
    <row r="222" spans="1:10" ht="9.75" customHeight="1">
      <c r="A222" s="410" t="str">
        <f>'12.lan'!D539</f>
        <v>UKR Ukraine</v>
      </c>
      <c r="B222" s="410" t="s">
        <v>649</v>
      </c>
      <c r="C222" s="413">
        <f>VLOOKUP(B222,'12.ppp data'!$C$3:$J$273,7,FALSE)</f>
        <v>3.6818887522135197</v>
      </c>
      <c r="D222" s="413" t="str">
        <f>IF(VLOOKUP(B222,'12.ppp data'!$C$3:$J$273,8,FALSE)="est","est","-")</f>
        <v>-</v>
      </c>
      <c r="E222" s="410" t="s">
        <v>254</v>
      </c>
      <c r="F222" s="413">
        <v>6</v>
      </c>
      <c r="G222" s="413"/>
      <c r="H222" s="365"/>
      <c r="J222" s="410" t="s">
        <v>650</v>
      </c>
    </row>
    <row r="223" spans="1:10" ht="9.75" customHeight="1">
      <c r="A223" s="410" t="str">
        <f>'12.lan'!D540</f>
        <v>URY Uruguay</v>
      </c>
      <c r="B223" s="410" t="s">
        <v>651</v>
      </c>
      <c r="C223" s="413">
        <f>VLOOKUP(B223,'12.ppp data'!$C$3:$J$273,7,FALSE)</f>
        <v>1.4657002230566731</v>
      </c>
      <c r="D223" s="413" t="str">
        <f>IF(VLOOKUP(B223,'12.ppp data'!$C$3:$J$273,8,FALSE)="est","est","-")</f>
        <v>-</v>
      </c>
      <c r="E223" s="410" t="s">
        <v>245</v>
      </c>
      <c r="F223" s="413">
        <v>1</v>
      </c>
      <c r="G223" s="413"/>
      <c r="H223" s="365"/>
      <c r="J223" s="410" t="s">
        <v>652</v>
      </c>
    </row>
    <row r="224" spans="1:10" ht="9.75" customHeight="1">
      <c r="A224" s="410" t="str">
        <f>'12.lan'!D541</f>
        <v>USA Vereinigte Staaten von Amerika</v>
      </c>
      <c r="B224" s="410" t="s">
        <v>653</v>
      </c>
      <c r="C224" s="413">
        <f>VLOOKUP(B224,'12.ppp data'!$C$3:$J$273,7,FALSE)</f>
        <v>1.1294900000000001</v>
      </c>
      <c r="D224" s="413" t="str">
        <f>IF(VLOOKUP(B224,'12.ppp data'!$C$3:$J$273,8,FALSE)="est","est","-")</f>
        <v>-</v>
      </c>
      <c r="E224" s="410" t="s">
        <v>245</v>
      </c>
      <c r="F224" s="413">
        <v>4</v>
      </c>
      <c r="G224" s="413"/>
      <c r="H224" s="365"/>
      <c r="J224" s="410" t="s">
        <v>654</v>
      </c>
    </row>
    <row r="225" spans="1:10" ht="9.75" customHeight="1">
      <c r="A225" s="410" t="str">
        <f>'12.lan'!D542</f>
        <v>UZB Usbekistan</v>
      </c>
      <c r="B225" s="410" t="s">
        <v>655</v>
      </c>
      <c r="C225" s="413">
        <f>VLOOKUP(B225,'12.ppp data'!$C$3:$J$273,7,FALSE)</f>
        <v>5.110891272086727</v>
      </c>
      <c r="D225" s="413" t="str">
        <f>IF(VLOOKUP(B225,'12.ppp data'!$C$3:$J$273,8,FALSE)="est","est","-")</f>
        <v>-</v>
      </c>
      <c r="E225" s="410" t="s">
        <v>248</v>
      </c>
      <c r="F225" s="413">
        <v>4.1785714285714288</v>
      </c>
      <c r="G225" s="413" t="s">
        <v>244</v>
      </c>
      <c r="H225" s="365"/>
      <c r="J225" s="410" t="s">
        <v>656</v>
      </c>
    </row>
    <row r="226" spans="1:10" ht="9.75" customHeight="1">
      <c r="A226" s="410" t="str">
        <f>'12.lan'!D543</f>
        <v>VCT St. Vincent und die Grenadinen</v>
      </c>
      <c r="B226" s="410" t="s">
        <v>657</v>
      </c>
      <c r="C226" s="413">
        <f>VLOOKUP(B226,'12.ppp data'!$C$3:$J$273,7,FALSE)</f>
        <v>1.8512874582147087</v>
      </c>
      <c r="D226" s="413" t="str">
        <f>IF(VLOOKUP(B226,'12.ppp data'!$C$3:$J$273,8,FALSE)="est","est","-")</f>
        <v>-</v>
      </c>
      <c r="E226" s="410" t="s">
        <v>245</v>
      </c>
      <c r="F226" s="413">
        <v>3.4210526315789473</v>
      </c>
      <c r="G226" s="413" t="s">
        <v>244</v>
      </c>
      <c r="H226" s="365"/>
      <c r="J226" s="410" t="s">
        <v>658</v>
      </c>
    </row>
    <row r="227" spans="1:10" ht="9.75" customHeight="1">
      <c r="A227" s="410" t="str">
        <f>'12.lan'!D544</f>
        <v>VEN Venezuela</v>
      </c>
      <c r="B227" s="410" t="s">
        <v>659</v>
      </c>
      <c r="C227" s="413">
        <f>VLOOKUP(B227,'12.ppp data'!$C$3:$J$273,7,FALSE)</f>
        <v>1.9628994497935313</v>
      </c>
      <c r="D227" s="413" t="str">
        <f>IF(VLOOKUP(B227,'12.ppp data'!$C$3:$J$273,8,FALSE)="est","est","-")</f>
        <v>est</v>
      </c>
      <c r="E227" s="410" t="s">
        <v>245</v>
      </c>
      <c r="F227" s="413">
        <v>3</v>
      </c>
      <c r="G227" s="413"/>
      <c r="H227" s="365"/>
      <c r="J227" s="410" t="s">
        <v>660</v>
      </c>
    </row>
    <row r="228" spans="1:10" ht="9.75" customHeight="1">
      <c r="A228" s="410" t="str">
        <f>'12.lan'!D545</f>
        <v>VGB Britische Jungferninseln</v>
      </c>
      <c r="B228" s="410" t="s">
        <v>661</v>
      </c>
      <c r="C228" s="413">
        <f>VLOOKUP(B228,'12.ppp data'!$C$3:$J$273,7,FALSE)</f>
        <v>1.9628994497935313</v>
      </c>
      <c r="D228" s="413" t="str">
        <f>IF(VLOOKUP(B228,'12.ppp data'!$C$3:$J$273,8,FALSE)="est","est","-")</f>
        <v>est</v>
      </c>
      <c r="E228" s="410" t="s">
        <v>245</v>
      </c>
      <c r="F228" s="413">
        <v>3.4210526315789473</v>
      </c>
      <c r="G228" s="413" t="s">
        <v>244</v>
      </c>
      <c r="H228" s="365"/>
      <c r="J228" s="410" t="s">
        <v>662</v>
      </c>
    </row>
    <row r="229" spans="1:10" ht="9.75" customHeight="1">
      <c r="A229" s="410" t="str">
        <f>'12.lan'!D546</f>
        <v>VIR Amerikanische Jungferninseln</v>
      </c>
      <c r="B229" s="410" t="s">
        <v>663</v>
      </c>
      <c r="C229" s="413">
        <f>VLOOKUP(B229,'12.ppp data'!$C$3:$J$273,7,FALSE)</f>
        <v>1.9628994497935313</v>
      </c>
      <c r="D229" s="413" t="str">
        <f>IF(VLOOKUP(B229,'12.ppp data'!$C$3:$J$273,8,FALSE)="est","est","-")</f>
        <v>est</v>
      </c>
      <c r="E229" s="410" t="s">
        <v>245</v>
      </c>
      <c r="F229" s="413">
        <v>3.4210526315789473</v>
      </c>
      <c r="G229" s="413" t="s">
        <v>244</v>
      </c>
      <c r="H229" s="365"/>
      <c r="J229" s="410" t="s">
        <v>664</v>
      </c>
    </row>
    <row r="230" spans="1:10" ht="9.75" customHeight="1">
      <c r="A230" s="410" t="str">
        <f>'12.lan'!D547</f>
        <v>VNM Vietnam</v>
      </c>
      <c r="B230" s="410" t="s">
        <v>665</v>
      </c>
      <c r="C230" s="413">
        <f>VLOOKUP(B230,'12.ppp data'!$C$3:$J$273,7,FALSE)</f>
        <v>3.2788396696440074</v>
      </c>
      <c r="D230" s="413" t="str">
        <f>IF(VLOOKUP(B230,'12.ppp data'!$C$3:$J$273,8,FALSE)="est","est","-")</f>
        <v>-</v>
      </c>
      <c r="E230" s="410" t="s">
        <v>248</v>
      </c>
      <c r="F230" s="413">
        <v>4.1785714285714288</v>
      </c>
      <c r="G230" s="413" t="s">
        <v>244</v>
      </c>
      <c r="H230" s="365"/>
      <c r="J230" s="410" t="s">
        <v>666</v>
      </c>
    </row>
    <row r="231" spans="1:10" ht="9.75" customHeight="1">
      <c r="A231" s="410" t="str">
        <f>'12.lan'!D548</f>
        <v>VUT Vanuatu</v>
      </c>
      <c r="B231" s="410" t="s">
        <v>667</v>
      </c>
      <c r="C231" s="413">
        <f>VLOOKUP(B231,'12.ppp data'!$C$3:$J$273,7,FALSE)</f>
        <v>1.1594436656360083</v>
      </c>
      <c r="D231" s="413" t="str">
        <f>IF(VLOOKUP(B231,'12.ppp data'!$C$3:$J$273,8,FALSE)="est","est","-")</f>
        <v>-</v>
      </c>
      <c r="E231" s="410" t="s">
        <v>265</v>
      </c>
      <c r="F231" s="413">
        <v>3</v>
      </c>
      <c r="G231" s="413" t="s">
        <v>244</v>
      </c>
      <c r="H231" s="365"/>
      <c r="J231" s="410" t="s">
        <v>668</v>
      </c>
    </row>
    <row r="232" spans="1:10" ht="9.75" customHeight="1">
      <c r="A232" s="410" t="str">
        <f>'12.lan'!D549</f>
        <v>WSM Samoa</v>
      </c>
      <c r="B232" s="410" t="s">
        <v>669</v>
      </c>
      <c r="C232" s="413">
        <f>VLOOKUP(B232,'12.ppp data'!$C$3:$J$273,7,FALSE)</f>
        <v>0.68766222141936417</v>
      </c>
      <c r="D232" s="413" t="str">
        <f>IF(VLOOKUP(B232,'12.ppp data'!$C$3:$J$273,8,FALSE)="est","est","-")</f>
        <v>-</v>
      </c>
      <c r="E232" s="410" t="s">
        <v>265</v>
      </c>
      <c r="F232" s="413">
        <v>3</v>
      </c>
      <c r="G232" s="413" t="s">
        <v>244</v>
      </c>
      <c r="H232" s="365"/>
      <c r="J232" s="410" t="s">
        <v>670</v>
      </c>
    </row>
    <row r="233" spans="1:10" ht="9.75" customHeight="1">
      <c r="A233" s="410" t="str">
        <f>'12.lan'!D550</f>
        <v>XKX Kosovo</v>
      </c>
      <c r="B233" s="410" t="s">
        <v>671</v>
      </c>
      <c r="C233" s="413">
        <f>VLOOKUP(B233,'12.ppp data'!$C$3:$J$273,7,FALSE)</f>
        <v>3.5152535645644845</v>
      </c>
      <c r="D233" s="413" t="str">
        <f>IF(VLOOKUP(B233,'12.ppp data'!$C$3:$J$273,8,FALSE)="est","est","-")</f>
        <v>-</v>
      </c>
      <c r="E233" s="410" t="s">
        <v>254</v>
      </c>
      <c r="F233" s="413">
        <v>2</v>
      </c>
      <c r="G233" s="413" t="s">
        <v>244</v>
      </c>
      <c r="H233" s="365"/>
      <c r="J233" s="410" t="s">
        <v>672</v>
      </c>
    </row>
    <row r="234" spans="1:10" ht="9.75" customHeight="1">
      <c r="A234" s="410" t="str">
        <f>'12.lan'!D551</f>
        <v>YEM Jemen</v>
      </c>
      <c r="B234" s="410" t="s">
        <v>673</v>
      </c>
      <c r="C234" s="413">
        <f>VLOOKUP(B234,'12.ppp data'!$C$3:$J$273,7,FALSE)</f>
        <v>3.0027294367224551</v>
      </c>
      <c r="D234" s="413" t="str">
        <f>IF(VLOOKUP(B234,'12.ppp data'!$C$3:$J$273,8,FALSE)="est","est","-")</f>
        <v>est</v>
      </c>
      <c r="E234" s="410" t="s">
        <v>248</v>
      </c>
      <c r="F234" s="413">
        <v>4.1785714285714288</v>
      </c>
      <c r="G234" s="413" t="s">
        <v>244</v>
      </c>
      <c r="H234" s="365"/>
      <c r="J234" s="410" t="s">
        <v>674</v>
      </c>
    </row>
    <row r="235" spans="1:10" ht="9.75" customHeight="1">
      <c r="A235" s="410" t="str">
        <f>'12.lan'!D552</f>
        <v>ZAF Südafrika</v>
      </c>
      <c r="B235" s="410" t="s">
        <v>675</v>
      </c>
      <c r="C235" s="413">
        <f>VLOOKUP(B235,'12.ppp data'!$C$3:$J$273,7,FALSE)</f>
        <v>2.4721326531285115</v>
      </c>
      <c r="D235" s="413" t="str">
        <f>IF(VLOOKUP(B235,'12.ppp data'!$C$3:$J$273,8,FALSE)="est","est","-")</f>
        <v>-</v>
      </c>
      <c r="E235" s="410" t="s">
        <v>251</v>
      </c>
      <c r="F235" s="413">
        <v>1</v>
      </c>
      <c r="G235" s="413"/>
      <c r="H235" s="365"/>
      <c r="I235" s="412"/>
      <c r="J235" s="410" t="s">
        <v>676</v>
      </c>
    </row>
    <row r="236" spans="1:10" ht="9.75" customHeight="1">
      <c r="A236" s="410" t="str">
        <f>'12.lan'!D553</f>
        <v>ZMB Sambia</v>
      </c>
      <c r="B236" s="410" t="s">
        <v>677</v>
      </c>
      <c r="C236" s="413">
        <f>VLOOKUP(B236,'12.ppp data'!$C$3:$J$273,7,FALSE)</f>
        <v>3.0217667017585748</v>
      </c>
      <c r="D236" s="413" t="str">
        <f>IF(VLOOKUP(B236,'12.ppp data'!$C$3:$J$273,8,FALSE)="est","est","-")</f>
        <v>-</v>
      </c>
      <c r="E236" s="410" t="s">
        <v>251</v>
      </c>
      <c r="F236" s="413">
        <v>5</v>
      </c>
      <c r="G236" s="413"/>
      <c r="H236" s="365"/>
      <c r="J236" s="410" t="s">
        <v>678</v>
      </c>
    </row>
    <row r="237" spans="1:10" ht="9.75" customHeight="1">
      <c r="A237" s="410" t="str">
        <f>'12.lan'!D554</f>
        <v>ZWE Simbabwe</v>
      </c>
      <c r="B237" s="410" t="s">
        <v>679</v>
      </c>
      <c r="C237" s="413">
        <f>VLOOKUP(B237,'12.ppp data'!$C$3:$J$273,7,FALSE)</f>
        <v>3.0325616327831186</v>
      </c>
      <c r="D237" s="413" t="str">
        <f>IF(VLOOKUP(B237,'12.ppp data'!$C$3:$J$273,8,FALSE)="est","est","-")</f>
        <v>est</v>
      </c>
      <c r="E237" s="410" t="s">
        <v>251</v>
      </c>
      <c r="F237" s="413">
        <v>5</v>
      </c>
      <c r="G237" s="413"/>
      <c r="H237" s="365"/>
      <c r="J237" s="410" t="s">
        <v>680</v>
      </c>
    </row>
    <row r="238" spans="1:10" ht="9.75" customHeight="1">
      <c r="A238" s="410" t="str">
        <f>'12.lan'!D555</f>
        <v>Durchschnitt Afrika</v>
      </c>
      <c r="B238" s="410" t="s">
        <v>251</v>
      </c>
      <c r="C238" s="418">
        <f>'12.ppp data'!K3</f>
        <v>3.0325616327831186</v>
      </c>
      <c r="D238" s="418"/>
      <c r="E238" s="410"/>
      <c r="F238" s="418">
        <v>3.7083333333333335</v>
      </c>
      <c r="G238" s="410"/>
      <c r="H238" s="365"/>
      <c r="J238" s="410" t="s">
        <v>681</v>
      </c>
    </row>
    <row r="239" spans="1:10" ht="9.75" customHeight="1">
      <c r="A239" s="410" t="str">
        <f>'12.lan'!D556</f>
        <v>Durchschnitt Amerika</v>
      </c>
      <c r="B239" s="410" t="s">
        <v>245</v>
      </c>
      <c r="C239" s="418">
        <f>'12.ppp data'!K57</f>
        <v>1.9628994497935313</v>
      </c>
      <c r="D239" s="418"/>
      <c r="E239" s="410"/>
      <c r="F239" s="413">
        <v>3.4210526315789473</v>
      </c>
      <c r="G239" s="410"/>
      <c r="H239" s="365"/>
      <c r="J239" s="410" t="s">
        <v>682</v>
      </c>
    </row>
    <row r="240" spans="1:10" ht="9.75" customHeight="1">
      <c r="A240" s="410" t="str">
        <f>'12.lan'!D557</f>
        <v>Durchschnitt Asien</v>
      </c>
      <c r="B240" s="419" t="s">
        <v>248</v>
      </c>
      <c r="C240" s="418">
        <f>'12.ppp data'!K103</f>
        <v>3.0027294367224551</v>
      </c>
      <c r="D240" s="419"/>
      <c r="E240" s="410"/>
      <c r="F240" s="418">
        <v>4.1785714285714288</v>
      </c>
      <c r="G240" s="410"/>
      <c r="H240" s="365"/>
      <c r="J240" s="410" t="s">
        <v>683</v>
      </c>
    </row>
    <row r="241" spans="1:10" ht="9.75" customHeight="1">
      <c r="A241" s="410" t="str">
        <f>'12.lan'!D558</f>
        <v>Durchschnitt Europa</v>
      </c>
      <c r="B241" s="410" t="s">
        <v>254</v>
      </c>
      <c r="C241" s="418">
        <f>'12.ppp data'!K153</f>
        <v>1.9328616451977572</v>
      </c>
      <c r="D241" s="418"/>
      <c r="E241" s="410"/>
      <c r="F241" s="418">
        <v>2</v>
      </c>
      <c r="G241" s="410"/>
      <c r="H241" s="365"/>
      <c r="J241" s="410" t="s">
        <v>684</v>
      </c>
    </row>
    <row r="242" spans="1:10" ht="9.75" customHeight="1">
      <c r="A242" s="410" t="str">
        <f>'12.lan'!D559</f>
        <v>Durchschnitt Ozeanien</v>
      </c>
      <c r="B242" s="419" t="s">
        <v>265</v>
      </c>
      <c r="C242" s="418">
        <f>'12.ppp data'!K200</f>
        <v>1.3563308370936336</v>
      </c>
      <c r="D242" s="418"/>
      <c r="E242" s="410"/>
      <c r="F242" s="418">
        <v>3</v>
      </c>
      <c r="G242" s="410"/>
      <c r="H242" s="365"/>
      <c r="J242" s="410" t="s">
        <v>685</v>
      </c>
    </row>
    <row r="243" spans="1:10" ht="9.75" customHeight="1">
      <c r="A243" s="410" t="str">
        <f>'12.lan'!D560</f>
        <v>Durchschnitt Welt</v>
      </c>
      <c r="B243" s="364"/>
      <c r="C243" s="364">
        <v>0.97803586258736475</v>
      </c>
      <c r="D243" s="364"/>
      <c r="E243" s="420"/>
      <c r="F243" s="420">
        <v>3.2380952380952381</v>
      </c>
      <c r="G243" s="421"/>
      <c r="H243" s="365"/>
      <c r="J243" s="364" t="s">
        <v>686</v>
      </c>
    </row>
    <row r="244" spans="1:10" ht="9.75" customHeight="1">
      <c r="B244" s="364"/>
      <c r="C244" s="364"/>
      <c r="D244" s="364"/>
      <c r="E244" s="420"/>
      <c r="F244" s="420"/>
      <c r="G244" s="421"/>
      <c r="H244" s="365"/>
    </row>
    <row r="245" spans="1:10" ht="9.75" customHeight="1">
      <c r="B245" s="364"/>
      <c r="C245" s="412"/>
      <c r="D245" s="412"/>
      <c r="E245" s="422"/>
      <c r="F245" s="422"/>
      <c r="G245" s="423"/>
      <c r="H245" s="411"/>
      <c r="I245" s="412"/>
    </row>
    <row r="246" spans="1:10" ht="9.75" customHeight="1">
      <c r="B246" s="364"/>
      <c r="C246" s="364"/>
      <c r="D246" s="364"/>
      <c r="E246" s="420"/>
      <c r="F246" s="420"/>
      <c r="G246" s="421"/>
      <c r="H246" s="365"/>
    </row>
    <row r="247" spans="1:10" ht="9.75" customHeight="1">
      <c r="B247" s="364"/>
      <c r="C247" s="364"/>
      <c r="D247" s="364"/>
      <c r="E247" s="420"/>
      <c r="F247" s="420"/>
      <c r="G247" s="421"/>
      <c r="H247" s="365"/>
    </row>
    <row r="248" spans="1:10" ht="9.75" customHeight="1">
      <c r="B248" s="364"/>
      <c r="C248" s="364"/>
      <c r="D248" s="364"/>
      <c r="E248" s="420"/>
      <c r="F248" s="420"/>
      <c r="G248" s="421"/>
      <c r="H248" s="365"/>
    </row>
    <row r="249" spans="1:10" ht="9.75" customHeight="1">
      <c r="B249" s="364"/>
      <c r="C249" s="364"/>
      <c r="D249" s="364"/>
      <c r="E249" s="420"/>
      <c r="F249" s="420"/>
      <c r="G249" s="421"/>
      <c r="H249" s="365"/>
    </row>
    <row r="250" spans="1:10" ht="9.75" customHeight="1">
      <c r="B250" s="364"/>
      <c r="C250" s="364"/>
      <c r="D250" s="364"/>
      <c r="E250" s="420"/>
      <c r="F250" s="420"/>
      <c r="G250" s="421"/>
      <c r="H250" s="365"/>
    </row>
    <row r="251" spans="1:10" ht="9.75" customHeight="1">
      <c r="B251" s="364"/>
      <c r="C251" s="364"/>
      <c r="D251" s="364"/>
      <c r="E251" s="420"/>
      <c r="F251" s="420"/>
      <c r="G251" s="421"/>
      <c r="H251" s="365"/>
    </row>
    <row r="252" spans="1:10" ht="9.75" customHeight="1">
      <c r="B252" s="364"/>
      <c r="C252" s="364"/>
      <c r="D252" s="364"/>
      <c r="E252" s="420"/>
      <c r="F252" s="420"/>
      <c r="G252" s="421"/>
      <c r="H252" s="365"/>
    </row>
    <row r="253" spans="1:10" ht="9.75" customHeight="1">
      <c r="B253" s="364"/>
      <c r="C253" s="364"/>
      <c r="D253" s="364"/>
      <c r="E253" s="420"/>
      <c r="F253" s="420"/>
      <c r="G253" s="421"/>
      <c r="H253" s="365"/>
    </row>
    <row r="254" spans="1:10" ht="9.75" customHeight="1">
      <c r="B254" s="364"/>
      <c r="C254" s="364"/>
      <c r="D254" s="364"/>
      <c r="E254" s="420"/>
      <c r="F254" s="420"/>
      <c r="G254" s="421"/>
      <c r="H254" s="365"/>
    </row>
    <row r="255" spans="1:10" ht="9.75" customHeight="1">
      <c r="B255" s="364"/>
      <c r="C255" s="364"/>
      <c r="D255" s="364"/>
      <c r="E255" s="420"/>
      <c r="F255" s="420"/>
      <c r="G255" s="421"/>
      <c r="H255" s="365"/>
    </row>
    <row r="256" spans="1:10" ht="9.75" customHeight="1">
      <c r="B256" s="364"/>
      <c r="C256" s="364"/>
      <c r="D256" s="364"/>
      <c r="E256" s="420"/>
      <c r="F256" s="420"/>
      <c r="G256" s="421"/>
      <c r="H256" s="365"/>
    </row>
    <row r="257" spans="5:8" s="364" customFormat="1" ht="9.75" customHeight="1">
      <c r="E257" s="420"/>
      <c r="F257" s="420"/>
      <c r="G257" s="421"/>
      <c r="H257" s="365"/>
    </row>
    <row r="258" spans="5:8" s="364" customFormat="1" ht="9.75" customHeight="1">
      <c r="E258" s="420"/>
      <c r="F258" s="420"/>
      <c r="G258" s="421"/>
      <c r="H258" s="365"/>
    </row>
    <row r="259" spans="5:8" s="364" customFormat="1" ht="9.75" customHeight="1">
      <c r="E259" s="420"/>
      <c r="F259" s="420"/>
      <c r="G259" s="421"/>
      <c r="H259" s="365"/>
    </row>
    <row r="260" spans="5:8" s="364" customFormat="1" ht="9.75" customHeight="1">
      <c r="E260" s="420"/>
      <c r="F260" s="420"/>
      <c r="G260" s="421"/>
      <c r="H260" s="365"/>
    </row>
    <row r="261" spans="5:8" s="364" customFormat="1" ht="9.75" customHeight="1">
      <c r="E261" s="420"/>
      <c r="F261" s="420"/>
      <c r="G261" s="421"/>
      <c r="H261" s="365"/>
    </row>
    <row r="262" spans="5:8" s="364" customFormat="1" ht="9.75" customHeight="1">
      <c r="E262" s="420"/>
      <c r="F262" s="420"/>
      <c r="G262" s="421"/>
      <c r="H262" s="365"/>
    </row>
    <row r="263" spans="5:8" s="364" customFormat="1" ht="9.75" customHeight="1">
      <c r="E263" s="420"/>
      <c r="F263" s="420"/>
      <c r="G263" s="421"/>
      <c r="H263" s="365"/>
    </row>
    <row r="264" spans="5:8" s="364" customFormat="1" ht="9.75" customHeight="1">
      <c r="E264" s="420"/>
      <c r="F264" s="420"/>
      <c r="G264" s="421"/>
      <c r="H264" s="365"/>
    </row>
    <row r="265" spans="5:8" s="364" customFormat="1" ht="9.75" customHeight="1">
      <c r="E265" s="420"/>
      <c r="F265" s="420"/>
      <c r="G265" s="421"/>
      <c r="H265" s="365"/>
    </row>
    <row r="266" spans="5:8" s="364" customFormat="1" ht="9.75" customHeight="1">
      <c r="E266" s="420"/>
      <c r="F266" s="420"/>
      <c r="G266" s="421"/>
      <c r="H266" s="365"/>
    </row>
    <row r="267" spans="5:8" s="364" customFormat="1" ht="9.75" customHeight="1">
      <c r="E267" s="420"/>
      <c r="F267" s="420"/>
      <c r="G267" s="421"/>
      <c r="H267" s="365"/>
    </row>
    <row r="268" spans="5:8" s="364" customFormat="1" ht="9.75" customHeight="1">
      <c r="E268" s="420"/>
      <c r="F268" s="420"/>
      <c r="G268" s="421"/>
      <c r="H268" s="365"/>
    </row>
    <row r="269" spans="5:8" s="364" customFormat="1" ht="9.75" customHeight="1">
      <c r="E269" s="420"/>
      <c r="F269" s="420"/>
      <c r="G269" s="421"/>
      <c r="H269" s="365"/>
    </row>
    <row r="270" spans="5:8" s="364" customFormat="1" ht="9.75" customHeight="1">
      <c r="E270" s="420"/>
      <c r="F270" s="420"/>
      <c r="G270" s="421"/>
      <c r="H270" s="365"/>
    </row>
    <row r="271" spans="5:8" s="364" customFormat="1" ht="9.75" customHeight="1">
      <c r="E271" s="420"/>
      <c r="F271" s="420"/>
      <c r="G271" s="421"/>
      <c r="H271" s="365"/>
    </row>
    <row r="272" spans="5:8" s="364" customFormat="1" ht="9.75" customHeight="1">
      <c r="E272" s="420"/>
      <c r="F272" s="420"/>
      <c r="G272" s="421"/>
      <c r="H272" s="365"/>
    </row>
    <row r="273" spans="2:9" ht="9.75" customHeight="1">
      <c r="B273" s="364"/>
      <c r="C273" s="364"/>
      <c r="D273" s="364"/>
      <c r="E273" s="420"/>
      <c r="F273" s="420"/>
      <c r="G273" s="421"/>
      <c r="H273" s="365"/>
    </row>
    <row r="274" spans="2:9" ht="9.75" customHeight="1">
      <c r="B274" s="364"/>
      <c r="C274" s="364"/>
      <c r="D274" s="364"/>
      <c r="E274" s="420"/>
      <c r="F274" s="420"/>
      <c r="G274" s="421"/>
      <c r="H274" s="365"/>
    </row>
    <row r="275" spans="2:9" ht="9.75" customHeight="1">
      <c r="B275" s="364"/>
      <c r="C275" s="364"/>
      <c r="D275" s="364"/>
      <c r="E275" s="420"/>
      <c r="F275" s="420"/>
      <c r="G275" s="421"/>
      <c r="H275" s="365"/>
    </row>
    <row r="276" spans="2:9" ht="9.75" customHeight="1">
      <c r="B276" s="364"/>
      <c r="C276" s="364"/>
      <c r="D276" s="364"/>
      <c r="E276" s="420"/>
      <c r="F276" s="420"/>
      <c r="G276" s="421"/>
      <c r="H276" s="365"/>
    </row>
    <row r="277" spans="2:9" ht="9.75" customHeight="1">
      <c r="B277" s="412"/>
      <c r="C277" s="412"/>
      <c r="D277" s="412"/>
      <c r="E277" s="422"/>
      <c r="F277" s="422"/>
      <c r="G277" s="423"/>
      <c r="H277" s="411"/>
      <c r="I277" s="412"/>
    </row>
    <row r="278" spans="2:9" ht="9.75" customHeight="1">
      <c r="B278" s="364"/>
      <c r="C278" s="364"/>
      <c r="D278" s="364"/>
      <c r="E278" s="420"/>
      <c r="F278" s="420"/>
      <c r="G278" s="421"/>
      <c r="H278" s="365"/>
      <c r="I278" s="416"/>
    </row>
    <row r="279" spans="2:9" ht="9.75" customHeight="1">
      <c r="B279" s="364"/>
      <c r="C279" s="364"/>
      <c r="D279" s="364"/>
      <c r="E279" s="420"/>
      <c r="F279" s="420"/>
      <c r="G279" s="421"/>
      <c r="H279" s="365"/>
    </row>
    <row r="280" spans="2:9" ht="9.75" customHeight="1">
      <c r="B280" s="364"/>
      <c r="C280" s="364"/>
      <c r="D280" s="364"/>
      <c r="E280" s="420"/>
      <c r="F280" s="420"/>
      <c r="G280" s="421"/>
      <c r="H280" s="365"/>
    </row>
    <row r="281" spans="2:9" ht="9.75" customHeight="1">
      <c r="B281" s="364"/>
      <c r="C281" s="364"/>
      <c r="D281" s="364"/>
      <c r="E281" s="420"/>
      <c r="F281" s="420"/>
      <c r="G281" s="421"/>
      <c r="H281" s="365"/>
    </row>
    <row r="282" spans="2:9" ht="9.75" customHeight="1">
      <c r="B282" s="364"/>
      <c r="C282" s="364"/>
      <c r="D282" s="364"/>
      <c r="E282" s="420"/>
      <c r="F282" s="420"/>
      <c r="G282" s="421"/>
      <c r="H282" s="365"/>
    </row>
    <row r="283" spans="2:9" ht="9.75" customHeight="1">
      <c r="B283" s="364"/>
      <c r="C283" s="364"/>
      <c r="D283" s="364"/>
      <c r="E283" s="420"/>
      <c r="F283" s="420"/>
      <c r="G283" s="421"/>
      <c r="H283" s="365"/>
    </row>
    <row r="284" spans="2:9" ht="9.75" customHeight="1">
      <c r="B284" s="364"/>
      <c r="C284" s="364"/>
      <c r="D284" s="364"/>
      <c r="E284" s="420"/>
      <c r="F284" s="420"/>
      <c r="G284" s="421"/>
      <c r="H284" s="365"/>
    </row>
    <row r="285" spans="2:9" ht="9.75" customHeight="1">
      <c r="B285" s="364"/>
      <c r="C285" s="364"/>
      <c r="D285" s="364"/>
      <c r="E285" s="420"/>
      <c r="F285" s="420"/>
      <c r="G285" s="421"/>
      <c r="H285" s="365"/>
    </row>
    <row r="286" spans="2:9" ht="9.75" customHeight="1">
      <c r="B286" s="364"/>
      <c r="C286" s="364"/>
      <c r="D286" s="364"/>
      <c r="E286" s="420"/>
      <c r="F286" s="420"/>
      <c r="G286" s="421"/>
      <c r="H286" s="365"/>
    </row>
    <row r="287" spans="2:9" ht="9.75" customHeight="1">
      <c r="B287" s="364"/>
      <c r="C287" s="364"/>
      <c r="D287" s="364"/>
      <c r="E287" s="420"/>
      <c r="F287" s="420"/>
      <c r="G287" s="421"/>
      <c r="H287" s="365"/>
    </row>
    <row r="288" spans="2:9" ht="9.75" customHeight="1">
      <c r="B288" s="364"/>
      <c r="C288" s="364"/>
      <c r="D288" s="364"/>
      <c r="E288" s="420"/>
      <c r="F288" s="420"/>
      <c r="G288" s="421"/>
      <c r="H288" s="365"/>
    </row>
    <row r="289" spans="5:8" s="364" customFormat="1" ht="9.75" customHeight="1">
      <c r="E289" s="420"/>
      <c r="F289" s="420"/>
      <c r="G289" s="421"/>
      <c r="H289" s="365"/>
    </row>
    <row r="290" spans="5:8" s="364" customFormat="1" ht="9.75" customHeight="1">
      <c r="E290" s="420"/>
      <c r="F290" s="420"/>
      <c r="G290" s="421"/>
      <c r="H290" s="365"/>
    </row>
    <row r="291" spans="5:8" s="364" customFormat="1" ht="9.75" customHeight="1">
      <c r="E291" s="420"/>
      <c r="F291" s="420"/>
      <c r="G291" s="421"/>
      <c r="H291" s="365"/>
    </row>
    <row r="292" spans="5:8" s="364" customFormat="1" ht="9.75" customHeight="1">
      <c r="E292" s="420"/>
      <c r="F292" s="420"/>
      <c r="G292" s="421"/>
      <c r="H292" s="365"/>
    </row>
    <row r="293" spans="5:8" s="364" customFormat="1" ht="9.75" customHeight="1">
      <c r="E293" s="424"/>
      <c r="F293" s="424"/>
      <c r="G293" s="425"/>
      <c r="H293" s="365"/>
    </row>
  </sheetData>
  <sheetProtection algorithmName="SHA-512" hashValue="gq/fgxHBALLRV/7RZreZoAnL8uqbor+DRLH2l59rM6imZ0Lntlp9gT8JJ3SOExtdlOWmLZWfSEZyo8X9tpfOUA==" saltValue="nVYCSfCn/c2mznDhLHcPqw==" spinCount="100000" sheet="1" selectLockedCells="1" selectUnlockedCells="1"/>
  <mergeCells count="6">
    <mergeCell ref="A1:G1"/>
    <mergeCell ref="L2:N2"/>
    <mergeCell ref="O2:Q2"/>
    <mergeCell ref="B3:B8"/>
    <mergeCell ref="G3:G8"/>
    <mergeCell ref="J8:M8"/>
  </mergeCells>
  <hyperlinks>
    <hyperlink ref="E19" r:id="rId1" xr:uid="{00000000-0004-0000-0B00-000000000000}"/>
  </hyperlinks>
  <pageMargins left="0.7" right="0.7" top="0.75" bottom="0.75" header="0.51180555555555551" footer="0.51180555555555551"/>
  <pageSetup paperSize="9" firstPageNumber="0"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
  <dimension ref="C2:L273"/>
  <sheetViews>
    <sheetView zoomScale="90" zoomScaleNormal="90" workbookViewId="0">
      <pane xSplit="2" ySplit="2" topLeftCell="C186" activePane="bottomRight" state="frozen"/>
      <selection pane="topRight" activeCell="C1" sqref="C1"/>
      <selection pane="bottomLeft" activeCell="A3" sqref="A3"/>
      <selection pane="bottomRight" activeCell="F204" sqref="F204"/>
    </sheetView>
  </sheetViews>
  <sheetFormatPr baseColWidth="10" defaultRowHeight="15"/>
  <cols>
    <col min="1" max="1" width="6.140625" customWidth="1"/>
    <col min="2" max="2" width="5.85546875" customWidth="1"/>
    <col min="3" max="3" width="37.5703125" customWidth="1"/>
    <col min="4" max="4" width="11.7109375" style="438" customWidth="1"/>
    <col min="5" max="5" width="18" style="438" customWidth="1"/>
    <col min="6" max="6" width="17.5703125" style="438" customWidth="1"/>
    <col min="7" max="7" width="14.7109375" customWidth="1"/>
  </cols>
  <sheetData>
    <row r="2" spans="3:12" s="431" customFormat="1" ht="55.5" customHeight="1">
      <c r="C2" s="431" t="s">
        <v>241</v>
      </c>
      <c r="D2" s="433" t="s">
        <v>3183</v>
      </c>
      <c r="E2" s="433" t="s">
        <v>3185</v>
      </c>
      <c r="F2" s="433" t="s">
        <v>3184</v>
      </c>
      <c r="G2" s="433" t="s">
        <v>3186</v>
      </c>
      <c r="H2" s="433" t="s">
        <v>113</v>
      </c>
      <c r="J2" s="431" t="s">
        <v>244</v>
      </c>
      <c r="K2" s="431" t="s">
        <v>3187</v>
      </c>
    </row>
    <row r="3" spans="3:12">
      <c r="C3" s="440" t="s">
        <v>603</v>
      </c>
      <c r="D3" s="438">
        <v>1.1294900000000001</v>
      </c>
      <c r="F3" s="438">
        <v>12463.563519801301</v>
      </c>
      <c r="G3" s="439">
        <f t="shared" ref="G3:G66" si="0">D3*E3/F3</f>
        <v>0</v>
      </c>
      <c r="H3" t="str">
        <f>VLOOKUP(C3,'11.Region'!$B$22:$E$243,4,FALSE)</f>
        <v>Africa</v>
      </c>
      <c r="I3" s="430">
        <f>$K$3</f>
        <v>3.0325616327831186</v>
      </c>
      <c r="J3" t="s">
        <v>244</v>
      </c>
      <c r="K3" s="429">
        <f>AVERAGE(G5:G51)</f>
        <v>3.0325616327831186</v>
      </c>
      <c r="L3" s="427" t="s">
        <v>251</v>
      </c>
    </row>
    <row r="4" spans="3:12">
      <c r="C4" s="440" t="s">
        <v>679</v>
      </c>
      <c r="D4" s="438">
        <v>1.1294900000000001</v>
      </c>
      <c r="F4" s="438">
        <v>0.51762968529525999</v>
      </c>
      <c r="G4" s="439">
        <f t="shared" si="0"/>
        <v>0</v>
      </c>
      <c r="H4" t="str">
        <f>VLOOKUP(C4,'11.Region'!$B$22:$E$243,4,FALSE)</f>
        <v>Africa</v>
      </c>
      <c r="I4" s="430">
        <f>$K$3</f>
        <v>3.0325616327831186</v>
      </c>
      <c r="J4" t="s">
        <v>244</v>
      </c>
    </row>
    <row r="5" spans="3:12">
      <c r="C5" s="440" t="s">
        <v>250</v>
      </c>
      <c r="D5" s="438">
        <v>1.1294900000000001</v>
      </c>
      <c r="E5" s="438">
        <v>165.09041999999999</v>
      </c>
      <c r="F5" s="438">
        <v>108.299425238122</v>
      </c>
      <c r="G5" s="439">
        <f t="shared" si="0"/>
        <v>1.7217817922468739</v>
      </c>
      <c r="H5" t="str">
        <f>VLOOKUP(C5,'11.Region'!$B$22:$E$243,4,FALSE)</f>
        <v>Africa</v>
      </c>
      <c r="I5" s="430">
        <f>G5</f>
        <v>1.7217817922468739</v>
      </c>
    </row>
    <row r="6" spans="3:12">
      <c r="C6" s="440" t="s">
        <v>583</v>
      </c>
      <c r="D6" s="438">
        <v>1.1294900000000001</v>
      </c>
      <c r="E6" s="438">
        <v>6.6066799999999999</v>
      </c>
      <c r="F6" s="438">
        <v>4.1377654584988903</v>
      </c>
      <c r="G6" s="439">
        <f t="shared" si="0"/>
        <v>1.8034320862418214</v>
      </c>
      <c r="H6" t="str">
        <f>VLOOKUP(C6,'11.Region'!$B$22:$E$243,4,FALSE)</f>
        <v>Africa</v>
      </c>
      <c r="I6" s="430">
        <f t="shared" ref="I6:I51" si="1">G6</f>
        <v>1.8034320862418214</v>
      </c>
    </row>
    <row r="7" spans="3:12">
      <c r="C7" s="440" t="s">
        <v>311</v>
      </c>
      <c r="D7" s="438">
        <v>1.1294900000000001</v>
      </c>
      <c r="E7" s="438">
        <v>581.90317000000005</v>
      </c>
      <c r="F7" s="438">
        <v>335.50036162285897</v>
      </c>
      <c r="G7" s="439">
        <f t="shared" si="0"/>
        <v>1.959025642488365</v>
      </c>
      <c r="H7" t="str">
        <f>VLOOKUP(C7,'11.Region'!$B$22:$E$243,4,FALSE)</f>
        <v>Africa</v>
      </c>
      <c r="I7" s="430">
        <f t="shared" si="1"/>
        <v>1.959025642488365</v>
      </c>
    </row>
    <row r="8" spans="3:12">
      <c r="C8" s="440" t="s">
        <v>617</v>
      </c>
      <c r="D8" s="438">
        <v>1.1294900000000001</v>
      </c>
      <c r="E8" s="438">
        <v>12.72334</v>
      </c>
      <c r="F8" s="438">
        <v>7.3058650570550903</v>
      </c>
      <c r="G8" s="439">
        <f t="shared" si="0"/>
        <v>1.9670340451638095</v>
      </c>
      <c r="H8" t="str">
        <f>VLOOKUP(C8,'11.Region'!$B$22:$E$243,4,FALSE)</f>
        <v>Africa</v>
      </c>
      <c r="I8" s="430">
        <f t="shared" si="1"/>
        <v>1.9670340451638095</v>
      </c>
    </row>
    <row r="9" spans="3:12">
      <c r="C9" s="440" t="s">
        <v>325</v>
      </c>
      <c r="D9" s="438">
        <v>1.1294900000000001</v>
      </c>
      <c r="E9" s="438">
        <v>1440.44336</v>
      </c>
      <c r="F9" s="438">
        <v>763.855751739276</v>
      </c>
      <c r="G9" s="439">
        <f t="shared" si="0"/>
        <v>2.1299392810512296</v>
      </c>
      <c r="H9" t="str">
        <f>VLOOKUP(C9,'11.Region'!$B$22:$E$243,4,FALSE)</f>
        <v>Africa</v>
      </c>
      <c r="I9" s="430">
        <f t="shared" si="1"/>
        <v>2.1299392810512296</v>
      </c>
    </row>
    <row r="10" spans="3:12">
      <c r="C10" s="440" t="s">
        <v>331</v>
      </c>
      <c r="D10" s="438">
        <v>1.1294900000000001</v>
      </c>
      <c r="E10" s="438">
        <v>436.44655</v>
      </c>
      <c r="F10" s="438">
        <v>224.23769243185501</v>
      </c>
      <c r="G10" s="439">
        <f t="shared" si="0"/>
        <v>2.1983905043497955</v>
      </c>
      <c r="H10" t="str">
        <f>VLOOKUP(C10,'11.Region'!$B$22:$E$243,4,FALSE)</f>
        <v>Africa</v>
      </c>
      <c r="I10" s="430">
        <f t="shared" si="1"/>
        <v>2.1983905043497955</v>
      </c>
    </row>
    <row r="11" spans="3:12">
      <c r="C11" s="440" t="s">
        <v>525</v>
      </c>
      <c r="D11" s="438">
        <v>1.1294900000000001</v>
      </c>
      <c r="E11" s="438">
        <v>13.299200000000001</v>
      </c>
      <c r="F11" s="438">
        <v>6.6430047961537504</v>
      </c>
      <c r="G11" s="439">
        <f t="shared" si="0"/>
        <v>2.2612227250983215</v>
      </c>
      <c r="H11" t="str">
        <f>VLOOKUP(C11,'11.Region'!$B$22:$E$243,4,FALSE)</f>
        <v>Africa</v>
      </c>
      <c r="I11" s="430">
        <f t="shared" si="1"/>
        <v>2.2612227250983215</v>
      </c>
    </row>
    <row r="12" spans="3:12">
      <c r="C12" s="440" t="s">
        <v>519</v>
      </c>
      <c r="D12" s="438">
        <v>1.1294900000000001</v>
      </c>
      <c r="E12" s="438">
        <v>33.257289999999998</v>
      </c>
      <c r="F12" s="438">
        <v>16.324395254109199</v>
      </c>
      <c r="G12" s="439">
        <f t="shared" si="0"/>
        <v>2.3010822696567823</v>
      </c>
      <c r="H12" t="str">
        <f>VLOOKUP(C12,'11.Region'!$B$22:$E$243,4,FALSE)</f>
        <v>Africa</v>
      </c>
      <c r="I12" s="430">
        <f t="shared" si="1"/>
        <v>2.3010822696567823</v>
      </c>
    </row>
    <row r="13" spans="3:12">
      <c r="C13" s="440" t="s">
        <v>333</v>
      </c>
      <c r="D13" s="438">
        <v>1.1294900000000001</v>
      </c>
      <c r="E13" s="438">
        <v>97.816749999999999</v>
      </c>
      <c r="F13" s="438">
        <v>45.992605173420998</v>
      </c>
      <c r="G13" s="439">
        <f t="shared" si="0"/>
        <v>2.4021914075297448</v>
      </c>
      <c r="H13" t="str">
        <f>VLOOKUP(C13,'11.Region'!$B$22:$E$243,4,FALSE)</f>
        <v>Africa</v>
      </c>
      <c r="I13" s="430">
        <f t="shared" si="1"/>
        <v>2.4021914075297448</v>
      </c>
    </row>
    <row r="14" spans="3:12">
      <c r="C14" s="440" t="s">
        <v>447</v>
      </c>
      <c r="D14" s="438">
        <v>1.1294900000000001</v>
      </c>
      <c r="E14" s="438">
        <v>101.76897</v>
      </c>
      <c r="F14" s="438">
        <v>47.452447784598498</v>
      </c>
      <c r="G14" s="439">
        <f t="shared" si="0"/>
        <v>2.4223625817382604</v>
      </c>
      <c r="H14" t="str">
        <f>VLOOKUP(C14,'11.Region'!$B$22:$E$243,4,FALSE)</f>
        <v>Africa</v>
      </c>
      <c r="I14" s="430">
        <f t="shared" si="1"/>
        <v>2.4223625817382604</v>
      </c>
    </row>
    <row r="15" spans="3:12">
      <c r="C15" s="440" t="s">
        <v>675</v>
      </c>
      <c r="D15" s="438">
        <v>1.1294900000000001</v>
      </c>
      <c r="E15" s="438">
        <v>13.299200000000001</v>
      </c>
      <c r="F15" s="438">
        <v>6.0762570281131003</v>
      </c>
      <c r="G15" s="439">
        <f t="shared" si="0"/>
        <v>2.4721326531285115</v>
      </c>
      <c r="H15" t="str">
        <f>VLOOKUP(C15,'11.Region'!$B$22:$E$243,4,FALSE)</f>
        <v>Africa</v>
      </c>
      <c r="I15" s="430">
        <f t="shared" si="1"/>
        <v>2.4721326531285115</v>
      </c>
    </row>
    <row r="16" spans="3:12">
      <c r="C16" s="440" t="s">
        <v>309</v>
      </c>
      <c r="D16" s="438">
        <v>1.1294900000000001</v>
      </c>
      <c r="E16" s="438">
        <v>10.22584</v>
      </c>
      <c r="F16" s="438">
        <v>4.5288649655425299</v>
      </c>
      <c r="G16" s="439">
        <f t="shared" si="0"/>
        <v>2.5503043498706708</v>
      </c>
      <c r="H16" t="str">
        <f>VLOOKUP(C16,'11.Region'!$B$22:$E$243,4,FALSE)</f>
        <v>Africa</v>
      </c>
      <c r="I16" s="430">
        <f t="shared" si="1"/>
        <v>2.5503043498706708</v>
      </c>
    </row>
    <row r="17" spans="3:9">
      <c r="C17" s="440" t="s">
        <v>395</v>
      </c>
      <c r="D17" s="438">
        <v>1.1294900000000001</v>
      </c>
      <c r="E17" s="438">
        <v>581.57419000000004</v>
      </c>
      <c r="F17" s="438">
        <v>247.754889036848</v>
      </c>
      <c r="G17" s="439">
        <f t="shared" si="0"/>
        <v>2.6513391296403581</v>
      </c>
      <c r="H17" t="str">
        <f>VLOOKUP(C17,'11.Region'!$B$22:$E$243,4,FALSE)</f>
        <v>Africa</v>
      </c>
      <c r="I17" s="430">
        <f t="shared" si="1"/>
        <v>2.6513391296403581</v>
      </c>
    </row>
    <row r="18" spans="3:9">
      <c r="C18" s="440" t="s">
        <v>275</v>
      </c>
      <c r="D18" s="438">
        <v>1.1294900000000001</v>
      </c>
      <c r="E18" s="438">
        <v>1699.34338</v>
      </c>
      <c r="F18" s="438">
        <v>717.88571949917002</v>
      </c>
      <c r="G18" s="439">
        <f t="shared" si="0"/>
        <v>2.6736725667356298</v>
      </c>
      <c r="H18" t="str">
        <f>VLOOKUP(C18,'11.Region'!$B$22:$E$243,4,FALSE)</f>
        <v>Africa</v>
      </c>
      <c r="I18" s="430">
        <f t="shared" si="1"/>
        <v>2.6736725667356298</v>
      </c>
    </row>
    <row r="19" spans="3:9">
      <c r="C19" s="440" t="s">
        <v>321</v>
      </c>
      <c r="D19" s="438">
        <v>1.1294900000000001</v>
      </c>
      <c r="E19" s="438">
        <v>581.57419000000004</v>
      </c>
      <c r="F19" s="438">
        <v>244.77749630749099</v>
      </c>
      <c r="G19" s="439">
        <f t="shared" si="0"/>
        <v>2.6835891443138244</v>
      </c>
      <c r="H19" t="str">
        <f>VLOOKUP(C19,'11.Region'!$B$22:$E$243,4,FALSE)</f>
        <v>Africa</v>
      </c>
      <c r="I19" s="430">
        <f t="shared" si="1"/>
        <v>2.6835891443138244</v>
      </c>
    </row>
    <row r="20" spans="3:9">
      <c r="C20" s="440" t="s">
        <v>467</v>
      </c>
      <c r="D20" s="438">
        <v>1.1294900000000001</v>
      </c>
      <c r="E20" s="438">
        <v>1.3707</v>
      </c>
      <c r="F20" s="438">
        <v>0.56442871547032702</v>
      </c>
      <c r="G20" s="439">
        <f t="shared" si="0"/>
        <v>2.7429361769978748</v>
      </c>
      <c r="H20" t="str">
        <f>VLOOKUP(C20,'11.Region'!$B$22:$E$243,4,FALSE)</f>
        <v>Africa</v>
      </c>
      <c r="I20" s="430">
        <f t="shared" si="1"/>
        <v>2.7429361769978748</v>
      </c>
    </row>
    <row r="21" spans="3:9">
      <c r="C21" s="440" t="s">
        <v>381</v>
      </c>
      <c r="D21" s="438">
        <v>1.1294900000000001</v>
      </c>
      <c r="E21" s="438">
        <v>581.90317000000005</v>
      </c>
      <c r="F21" s="438">
        <v>231.155170200789</v>
      </c>
      <c r="G21" s="439">
        <f t="shared" si="0"/>
        <v>2.843344628252908</v>
      </c>
      <c r="H21" t="str">
        <f>VLOOKUP(C21,'11.Region'!$B$22:$E$243,4,FALSE)</f>
        <v>Africa</v>
      </c>
      <c r="I21" s="430">
        <f t="shared" si="1"/>
        <v>2.843344628252908</v>
      </c>
    </row>
    <row r="22" spans="3:9">
      <c r="C22" s="440" t="s">
        <v>397</v>
      </c>
      <c r="D22" s="438">
        <v>1.1294900000000001</v>
      </c>
      <c r="E22" s="438">
        <v>581.90317000000005</v>
      </c>
      <c r="F22" s="438">
        <v>231.03801762813501</v>
      </c>
      <c r="G22" s="439">
        <f t="shared" si="0"/>
        <v>2.8447864045525897</v>
      </c>
      <c r="H22" t="str">
        <f>VLOOKUP(C22,'11.Region'!$B$22:$E$243,4,FALSE)</f>
        <v>Africa</v>
      </c>
      <c r="I22" s="430">
        <f t="shared" si="1"/>
        <v>2.8447864045525897</v>
      </c>
    </row>
    <row r="23" spans="3:9">
      <c r="C23" s="440" t="s">
        <v>625</v>
      </c>
      <c r="D23" s="438">
        <v>1.1294900000000001</v>
      </c>
      <c r="E23" s="438">
        <v>581.57419000000004</v>
      </c>
      <c r="F23" s="438">
        <v>228.864685269555</v>
      </c>
      <c r="G23" s="439">
        <f t="shared" si="0"/>
        <v>2.8701773324680016</v>
      </c>
      <c r="H23" t="str">
        <f>VLOOKUP(C23,'11.Region'!$B$22:$E$243,4,FALSE)</f>
        <v>Africa</v>
      </c>
      <c r="I23" s="430">
        <f t="shared" si="1"/>
        <v>2.8701773324680016</v>
      </c>
    </row>
    <row r="24" spans="3:9">
      <c r="C24" s="440" t="s">
        <v>323</v>
      </c>
      <c r="D24" s="438">
        <v>1.1294900000000001</v>
      </c>
      <c r="E24" s="438">
        <v>581.90317000000005</v>
      </c>
      <c r="F24" s="438">
        <v>227.95678457902599</v>
      </c>
      <c r="G24" s="439">
        <f t="shared" si="0"/>
        <v>2.8832386484879957</v>
      </c>
      <c r="H24" t="str">
        <f>VLOOKUP(C24,'11.Region'!$B$22:$E$243,4,FALSE)</f>
        <v>Africa</v>
      </c>
      <c r="I24" s="430">
        <f t="shared" si="1"/>
        <v>2.8832386484879957</v>
      </c>
    </row>
    <row r="25" spans="3:9">
      <c r="C25" s="440" t="s">
        <v>369</v>
      </c>
      <c r="D25" s="438">
        <v>1.1294900000000001</v>
      </c>
      <c r="E25" s="438">
        <v>23.72109</v>
      </c>
      <c r="F25" s="438">
        <v>9.0633695215015706</v>
      </c>
      <c r="G25" s="439">
        <f t="shared" si="0"/>
        <v>2.9561559727359685</v>
      </c>
      <c r="H25" t="str">
        <f>VLOOKUP(C25,'11.Region'!$B$22:$E$243,4,FALSE)</f>
        <v>Africa</v>
      </c>
      <c r="I25" s="430">
        <f t="shared" si="1"/>
        <v>2.9561559727359685</v>
      </c>
    </row>
    <row r="26" spans="3:9">
      <c r="C26" s="440" t="s">
        <v>585</v>
      </c>
      <c r="D26" s="438">
        <v>1.1294900000000001</v>
      </c>
      <c r="E26" s="438">
        <v>581.57419000000004</v>
      </c>
      <c r="F26" s="438">
        <v>221.70707863836901</v>
      </c>
      <c r="G26" s="439">
        <f t="shared" si="0"/>
        <v>2.9628383355975485</v>
      </c>
      <c r="H26" t="str">
        <f>VLOOKUP(C26,'11.Region'!$B$22:$E$243,4,FALSE)</f>
        <v>Africa</v>
      </c>
      <c r="I26" s="430">
        <f t="shared" si="1"/>
        <v>2.9628383355975485</v>
      </c>
    </row>
    <row r="27" spans="3:9">
      <c r="C27" s="440" t="s">
        <v>613</v>
      </c>
      <c r="D27" s="438">
        <v>1.1294900000000001</v>
      </c>
      <c r="E27" s="438">
        <v>13.299200000000001</v>
      </c>
      <c r="F27" s="438">
        <v>5.0602621118104203</v>
      </c>
      <c r="G27" s="439">
        <f t="shared" si="0"/>
        <v>2.9684852436677032</v>
      </c>
      <c r="H27" t="str">
        <f>VLOOKUP(C27,'11.Region'!$B$22:$E$243,4,FALSE)</f>
        <v>Africa</v>
      </c>
      <c r="I27" s="430">
        <f t="shared" si="1"/>
        <v>2.9684852436677032</v>
      </c>
    </row>
    <row r="28" spans="3:9">
      <c r="C28" s="440" t="s">
        <v>475</v>
      </c>
      <c r="D28" s="438">
        <v>1.1294900000000001</v>
      </c>
      <c r="E28" s="438">
        <v>13.299200000000001</v>
      </c>
      <c r="F28" s="438">
        <v>5.0342674072109403</v>
      </c>
      <c r="G28" s="439">
        <f t="shared" si="0"/>
        <v>2.9838131733892213</v>
      </c>
      <c r="H28" t="str">
        <f>VLOOKUP(C28,'11.Region'!$B$22:$E$243,4,FALSE)</f>
        <v>Africa</v>
      </c>
      <c r="I28" s="430">
        <f t="shared" si="1"/>
        <v>2.9838131733892213</v>
      </c>
    </row>
    <row r="29" spans="3:9">
      <c r="C29" s="440" t="s">
        <v>391</v>
      </c>
      <c r="D29" s="438">
        <v>1.1294900000000001</v>
      </c>
      <c r="E29" s="438">
        <v>9041.4848099999999</v>
      </c>
      <c r="F29" s="438">
        <v>3386.1175606756501</v>
      </c>
      <c r="G29" s="439">
        <f t="shared" si="0"/>
        <v>3.0159220685796839</v>
      </c>
      <c r="H29" t="str">
        <f>VLOOKUP(C29,'11.Region'!$B$22:$E$243,4,FALSE)</f>
        <v>Africa</v>
      </c>
      <c r="I29" s="430">
        <f t="shared" si="1"/>
        <v>3.0159220685796839</v>
      </c>
    </row>
    <row r="30" spans="3:9">
      <c r="C30" s="440" t="s">
        <v>677</v>
      </c>
      <c r="D30" s="438">
        <v>1.1294900000000001</v>
      </c>
      <c r="E30" s="438">
        <v>9.4935399999999994</v>
      </c>
      <c r="F30" s="438">
        <v>3.5485394978903</v>
      </c>
      <c r="G30" s="439">
        <f t="shared" si="0"/>
        <v>3.0217667017585748</v>
      </c>
      <c r="H30" t="str">
        <f>VLOOKUP(C30,'11.Region'!$B$22:$E$243,4,FALSE)</f>
        <v>Africa</v>
      </c>
      <c r="I30" s="430">
        <f t="shared" si="1"/>
        <v>3.0217667017585748</v>
      </c>
    </row>
    <row r="31" spans="3:9">
      <c r="C31" s="440" t="s">
        <v>503</v>
      </c>
      <c r="D31" s="438">
        <v>1.1294900000000001</v>
      </c>
      <c r="E31" s="438">
        <v>581.57419000000004</v>
      </c>
      <c r="F31" s="438">
        <v>217.03135676952999</v>
      </c>
      <c r="G31" s="439">
        <f t="shared" si="0"/>
        <v>3.0266697017457096</v>
      </c>
      <c r="H31" t="str">
        <f>VLOOKUP(C31,'11.Region'!$B$22:$E$243,4,FALSE)</f>
        <v>Africa</v>
      </c>
      <c r="I31" s="430">
        <f t="shared" si="1"/>
        <v>3.0266697017457096</v>
      </c>
    </row>
    <row r="32" spans="3:9">
      <c r="C32" s="440" t="s">
        <v>529</v>
      </c>
      <c r="D32" s="438">
        <v>1.1294900000000001</v>
      </c>
      <c r="E32" s="438">
        <v>581.57419000000004</v>
      </c>
      <c r="F32" s="438">
        <v>216.47048493677701</v>
      </c>
      <c r="G32" s="439">
        <f t="shared" si="0"/>
        <v>3.0345117582886689</v>
      </c>
      <c r="H32" t="str">
        <f>VLOOKUP(C32,'11.Region'!$B$22:$E$243,4,FALSE)</f>
        <v>Africa</v>
      </c>
      <c r="I32" s="430">
        <f t="shared" si="1"/>
        <v>3.0345117582886689</v>
      </c>
    </row>
    <row r="33" spans="3:9">
      <c r="C33" s="440" t="s">
        <v>579</v>
      </c>
      <c r="D33" s="438">
        <v>1.1294900000000001</v>
      </c>
      <c r="E33" s="438">
        <v>823.42092000000002</v>
      </c>
      <c r="F33" s="438">
        <v>305.70607812662502</v>
      </c>
      <c r="G33" s="439">
        <f t="shared" si="0"/>
        <v>3.0422872212098131</v>
      </c>
      <c r="H33" t="str">
        <f>VLOOKUP(C33,'11.Region'!$B$22:$E$243,4,FALSE)</f>
        <v>Africa</v>
      </c>
      <c r="I33" s="430">
        <f t="shared" si="1"/>
        <v>3.0422872212098131</v>
      </c>
    </row>
    <row r="34" spans="3:9">
      <c r="C34" s="440" t="s">
        <v>487</v>
      </c>
      <c r="D34" s="438">
        <v>1.1294900000000001</v>
      </c>
      <c r="E34" s="438">
        <v>9.5799199999999995</v>
      </c>
      <c r="F34" s="438">
        <v>3.54686354775819</v>
      </c>
      <c r="G34" s="439">
        <f t="shared" si="0"/>
        <v>3.0507020343760036</v>
      </c>
      <c r="H34" t="str">
        <f>VLOOKUP(C34,'11.Region'!$B$22:$E$243,4,FALSE)</f>
        <v>Africa</v>
      </c>
      <c r="I34" s="430">
        <f t="shared" si="1"/>
        <v>3.0507020343760036</v>
      </c>
    </row>
    <row r="35" spans="3:9">
      <c r="C35" s="440" t="s">
        <v>279</v>
      </c>
      <c r="D35" s="438">
        <v>1.1294900000000001</v>
      </c>
      <c r="E35" s="438">
        <v>581.57419000000004</v>
      </c>
      <c r="F35" s="438">
        <v>212.70077197001399</v>
      </c>
      <c r="G35" s="439">
        <f t="shared" si="0"/>
        <v>3.0882926553539054</v>
      </c>
      <c r="H35" t="str">
        <f>VLOOKUP(C35,'11.Region'!$B$22:$E$243,4,FALSE)</f>
        <v>Africa</v>
      </c>
      <c r="I35" s="430">
        <f t="shared" si="1"/>
        <v>3.0882926553539054</v>
      </c>
    </row>
    <row r="36" spans="3:9">
      <c r="C36" s="440" t="s">
        <v>281</v>
      </c>
      <c r="D36" s="438">
        <v>1.1294900000000001</v>
      </c>
      <c r="E36" s="438">
        <v>581.57419000000004</v>
      </c>
      <c r="F36" s="438">
        <v>208.924006880881</v>
      </c>
      <c r="G36" s="439">
        <f t="shared" si="0"/>
        <v>3.1441203989430693</v>
      </c>
      <c r="H36" t="str">
        <f>VLOOKUP(C36,'11.Region'!$B$22:$E$243,4,FALSE)</f>
        <v>Africa</v>
      </c>
      <c r="I36" s="430">
        <f t="shared" si="1"/>
        <v>3.1441203989430693</v>
      </c>
    </row>
    <row r="37" spans="3:9">
      <c r="C37" s="440" t="s">
        <v>387</v>
      </c>
      <c r="D37" s="438">
        <v>1.1294900000000001</v>
      </c>
      <c r="E37" s="432">
        <v>4.379563096</v>
      </c>
      <c r="F37" s="432">
        <v>1.5386671271163801</v>
      </c>
      <c r="G37" s="439">
        <f t="shared" si="0"/>
        <v>3.2149076522948876</v>
      </c>
      <c r="H37" t="str">
        <f>VLOOKUP(C37,'11.Region'!$B$22:$E$243,4,FALSE)</f>
        <v>Africa</v>
      </c>
      <c r="I37" s="430">
        <f t="shared" si="1"/>
        <v>3.2149076522948876</v>
      </c>
    </row>
    <row r="38" spans="3:9">
      <c r="C38" s="440" t="s">
        <v>623</v>
      </c>
      <c r="D38" s="438">
        <v>1.1294900000000001</v>
      </c>
      <c r="E38" s="438">
        <v>581.90317000000005</v>
      </c>
      <c r="F38" s="438">
        <v>200.876869467229</v>
      </c>
      <c r="G38" s="439">
        <f t="shared" si="0"/>
        <v>3.2719238069892578</v>
      </c>
      <c r="H38" t="str">
        <f>VLOOKUP(C38,'11.Region'!$B$22:$E$243,4,FALSE)</f>
        <v>Africa</v>
      </c>
      <c r="I38" s="430">
        <f t="shared" si="1"/>
        <v>3.2719238069892578</v>
      </c>
    </row>
    <row r="39" spans="3:9">
      <c r="C39" s="440" t="s">
        <v>515</v>
      </c>
      <c r="D39" s="438">
        <v>1.1294900000000001</v>
      </c>
      <c r="E39" s="438">
        <v>63.952289999999998</v>
      </c>
      <c r="F39" s="438">
        <v>21.2034188057773</v>
      </c>
      <c r="G39" s="439">
        <f t="shared" si="0"/>
        <v>3.4066898689195604</v>
      </c>
      <c r="H39" t="str">
        <f>VLOOKUP(C39,'11.Region'!$B$22:$E$243,4,FALSE)</f>
        <v>Africa</v>
      </c>
      <c r="I39" s="430">
        <f t="shared" si="1"/>
        <v>3.4066898689195604</v>
      </c>
    </row>
    <row r="40" spans="3:9">
      <c r="C40" s="440" t="s">
        <v>645</v>
      </c>
      <c r="D40" s="438">
        <v>1.1294900000000001</v>
      </c>
      <c r="E40" s="438">
        <v>2203.9814999999999</v>
      </c>
      <c r="F40" s="438">
        <v>708.42987542494097</v>
      </c>
      <c r="G40" s="439">
        <f t="shared" si="0"/>
        <v>3.5139329251773668</v>
      </c>
      <c r="H40" t="str">
        <f>VLOOKUP(C40,'11.Region'!$B$22:$E$243,4,FALSE)</f>
        <v>Africa</v>
      </c>
      <c r="I40" s="430">
        <f t="shared" si="1"/>
        <v>3.5139329251773668</v>
      </c>
    </row>
    <row r="41" spans="3:9">
      <c r="C41" s="440" t="s">
        <v>591</v>
      </c>
      <c r="D41" s="438">
        <v>1.1294900000000001</v>
      </c>
      <c r="E41" s="438">
        <v>7455.1746800000001</v>
      </c>
      <c r="F41" s="438">
        <v>2393.50987734811</v>
      </c>
      <c r="G41" s="439">
        <f t="shared" si="0"/>
        <v>3.5180741592103839</v>
      </c>
      <c r="H41" t="str">
        <f>VLOOKUP(C41,'11.Region'!$B$22:$E$243,4,FALSE)</f>
        <v>Africa</v>
      </c>
      <c r="I41" s="430">
        <f t="shared" si="1"/>
        <v>3.5180741592103839</v>
      </c>
    </row>
    <row r="42" spans="3:9">
      <c r="C42" s="440" t="s">
        <v>647</v>
      </c>
      <c r="D42" s="438">
        <v>1.1294900000000001</v>
      </c>
      <c r="E42" s="438">
        <v>3572.01577</v>
      </c>
      <c r="F42" s="438">
        <v>1143.4724145033399</v>
      </c>
      <c r="G42" s="439">
        <f t="shared" si="0"/>
        <v>3.5283370555202107</v>
      </c>
      <c r="H42" t="str">
        <f>VLOOKUP(C42,'11.Region'!$B$22:$E$243,4,FALSE)</f>
        <v>Africa</v>
      </c>
      <c r="I42" s="430">
        <f t="shared" si="1"/>
        <v>3.5283370555202107</v>
      </c>
    </row>
    <row r="43" spans="3:9">
      <c r="C43" s="440" t="s">
        <v>531</v>
      </c>
      <c r="D43" s="438">
        <v>1.1294900000000001</v>
      </c>
      <c r="E43" s="438">
        <v>331.66748999999999</v>
      </c>
      <c r="F43" s="438">
        <v>102.709364222796</v>
      </c>
      <c r="G43" s="439">
        <f t="shared" si="0"/>
        <v>3.6473316344115339</v>
      </c>
      <c r="H43" t="str">
        <f>VLOOKUP(C43,'11.Region'!$B$22:$E$243,4,FALSE)</f>
        <v>Africa</v>
      </c>
      <c r="I43" s="430">
        <f t="shared" si="1"/>
        <v>3.6473316344115339</v>
      </c>
    </row>
    <row r="44" spans="3:9">
      <c r="C44" s="440" t="s">
        <v>327</v>
      </c>
      <c r="D44" s="438">
        <v>1.1294900000000001</v>
      </c>
      <c r="E44" s="438">
        <v>581.90317000000005</v>
      </c>
      <c r="F44" s="438">
        <v>180.09420662785899</v>
      </c>
      <c r="G44" s="439">
        <f t="shared" si="0"/>
        <v>3.6495000244034985</v>
      </c>
      <c r="H44" t="str">
        <f>VLOOKUP(C44,'11.Region'!$B$22:$E$243,4,FALSE)</f>
        <v>Africa</v>
      </c>
      <c r="I44" s="430">
        <f t="shared" si="1"/>
        <v>3.6495000244034985</v>
      </c>
    </row>
    <row r="45" spans="3:9">
      <c r="C45" s="440" t="s">
        <v>639</v>
      </c>
      <c r="D45" s="438">
        <v>1.1294900000000001</v>
      </c>
      <c r="E45" s="438">
        <v>2.3937200000000001</v>
      </c>
      <c r="F45" s="438">
        <v>0.709070923019958</v>
      </c>
      <c r="G45" s="439">
        <f t="shared" si="0"/>
        <v>3.8129934750178731</v>
      </c>
      <c r="H45" t="str">
        <f>VLOOKUP(C45,'11.Region'!$B$22:$E$243,4,FALSE)</f>
        <v>Africa</v>
      </c>
      <c r="I45" s="430">
        <f t="shared" si="1"/>
        <v>3.8129934750178731</v>
      </c>
    </row>
    <row r="46" spans="3:9">
      <c r="C46" s="440" t="s">
        <v>493</v>
      </c>
      <c r="D46" s="438">
        <v>1.1294900000000001</v>
      </c>
      <c r="E46" s="438">
        <v>3082.79126</v>
      </c>
      <c r="F46" s="438">
        <v>901.18587759625495</v>
      </c>
      <c r="G46" s="439">
        <f t="shared" si="0"/>
        <v>3.8637777031581284</v>
      </c>
      <c r="H46" t="str">
        <f>VLOOKUP(C46,'11.Region'!$B$22:$E$243,4,FALSE)</f>
        <v>Africa</v>
      </c>
      <c r="I46" s="430">
        <f t="shared" si="1"/>
        <v>3.8637777031581284</v>
      </c>
    </row>
    <row r="47" spans="3:9">
      <c r="C47" s="440" t="s">
        <v>393</v>
      </c>
      <c r="D47" s="438">
        <v>1.1294900000000001</v>
      </c>
      <c r="E47" s="438">
        <v>44.954569999999997</v>
      </c>
      <c r="F47" s="438">
        <v>13.129927059964301</v>
      </c>
      <c r="G47" s="439">
        <f t="shared" si="0"/>
        <v>3.8671758828063174</v>
      </c>
      <c r="H47" t="str">
        <f>VLOOKUP(C47,'11.Region'!$B$22:$E$243,4,FALSE)</f>
        <v>Africa</v>
      </c>
      <c r="I47" s="430">
        <f t="shared" si="1"/>
        <v>3.8671758828063174</v>
      </c>
    </row>
    <row r="48" spans="3:9">
      <c r="C48" s="440" t="s">
        <v>517</v>
      </c>
      <c r="D48" s="438">
        <v>1.1294900000000001</v>
      </c>
      <c r="E48" s="438">
        <v>354.70191</v>
      </c>
      <c r="F48" s="438">
        <v>102.914772361353</v>
      </c>
      <c r="G48" s="439">
        <f t="shared" si="0"/>
        <v>3.8928547489684506</v>
      </c>
      <c r="H48" t="str">
        <f>VLOOKUP(C48,'11.Region'!$B$22:$E$243,4,FALSE)</f>
        <v>Africa</v>
      </c>
      <c r="I48" s="430">
        <f t="shared" si="1"/>
        <v>3.8928547489684506</v>
      </c>
    </row>
    <row r="49" spans="3:12">
      <c r="C49" s="440" t="s">
        <v>521</v>
      </c>
      <c r="D49" s="438">
        <v>1.1294900000000001</v>
      </c>
      <c r="E49" s="438">
        <v>718.93710999999996</v>
      </c>
      <c r="F49" s="438">
        <v>205.61176356902601</v>
      </c>
      <c r="G49" s="439">
        <f t="shared" si="0"/>
        <v>3.9493473635874552</v>
      </c>
      <c r="H49" t="str">
        <f>VLOOKUP(C49,'11.Region'!$B$22:$E$243,4,FALSE)</f>
        <v>Africa</v>
      </c>
      <c r="I49" s="430">
        <f t="shared" si="1"/>
        <v>3.9493473635874552</v>
      </c>
    </row>
    <row r="50" spans="3:12">
      <c r="C50" s="440" t="s">
        <v>357</v>
      </c>
      <c r="D50" s="438">
        <v>1.1294900000000001</v>
      </c>
      <c r="E50" s="438">
        <v>110.44233</v>
      </c>
      <c r="F50" s="438">
        <v>29.955727756633902</v>
      </c>
      <c r="G50" s="439">
        <f t="shared" si="0"/>
        <v>4.1642622848338151</v>
      </c>
      <c r="H50" t="str">
        <f>VLOOKUP(C50,'11.Region'!$B$22:$E$243,4,FALSE)</f>
        <v>Africa</v>
      </c>
      <c r="I50" s="430">
        <f t="shared" si="1"/>
        <v>4.1642622848338151</v>
      </c>
    </row>
    <row r="51" spans="3:12">
      <c r="C51" s="440" t="s">
        <v>361</v>
      </c>
      <c r="D51" s="438">
        <v>1.1294900000000001</v>
      </c>
      <c r="E51" s="438">
        <v>17.813800000000001</v>
      </c>
      <c r="F51" s="438">
        <v>3.0710178420623602</v>
      </c>
      <c r="G51" s="439">
        <f t="shared" si="0"/>
        <v>6.5517395198485584</v>
      </c>
      <c r="H51" t="str">
        <f>VLOOKUP(C51,'11.Region'!$B$22:$E$243,4,FALSE)</f>
        <v>Africa</v>
      </c>
      <c r="I51" s="430">
        <f t="shared" si="1"/>
        <v>6.5517395198485584</v>
      </c>
    </row>
    <row r="52" spans="3:12">
      <c r="C52" s="440" t="s">
        <v>465</v>
      </c>
      <c r="D52" s="438">
        <v>1.1294900000000001</v>
      </c>
      <c r="E52" s="434">
        <v>102.73307</v>
      </c>
      <c r="F52" s="434">
        <v>0.55182054197377495</v>
      </c>
      <c r="G52" s="439">
        <f t="shared" si="0"/>
        <v>210.27846266697077</v>
      </c>
      <c r="H52" t="str">
        <f>VLOOKUP(C52,'11.Region'!$B$22:$E$243,4,FALSE)</f>
        <v>Africa</v>
      </c>
      <c r="I52" s="430">
        <f>$K$3</f>
        <v>3.0325616327831186</v>
      </c>
      <c r="J52" t="s">
        <v>244</v>
      </c>
    </row>
    <row r="53" spans="3:12">
      <c r="C53" s="440" t="s">
        <v>349</v>
      </c>
      <c r="D53" s="438">
        <v>1.1294900000000001</v>
      </c>
      <c r="E53" s="438">
        <v>177.71958000000001</v>
      </c>
      <c r="G53" s="439" t="e">
        <f t="shared" si="0"/>
        <v>#DIV/0!</v>
      </c>
      <c r="H53" t="str">
        <f>VLOOKUP(C53,'11.Region'!$B$22:$E$243,4,FALSE)</f>
        <v>Africa</v>
      </c>
      <c r="I53" s="430">
        <f>$K$3</f>
        <v>3.0325616327831186</v>
      </c>
      <c r="J53" t="s">
        <v>244</v>
      </c>
    </row>
    <row r="54" spans="3:12">
      <c r="C54" s="440" t="s">
        <v>363</v>
      </c>
      <c r="D54" s="438">
        <v>1.1294900000000001</v>
      </c>
      <c r="G54" s="439" t="e">
        <f t="shared" si="0"/>
        <v>#DIV/0!</v>
      </c>
      <c r="H54" t="str">
        <f>VLOOKUP(C54,'11.Region'!$B$22:$E$243,4,FALSE)</f>
        <v>Africa</v>
      </c>
      <c r="I54" s="430">
        <f>$K$3</f>
        <v>3.0325616327831186</v>
      </c>
      <c r="J54" t="s">
        <v>244</v>
      </c>
    </row>
    <row r="55" spans="3:12">
      <c r="C55" s="440" t="s">
        <v>597</v>
      </c>
      <c r="D55" s="438">
        <v>1.1294900000000001</v>
      </c>
      <c r="E55" s="438">
        <v>545.65567999999996</v>
      </c>
      <c r="G55" s="439" t="e">
        <f t="shared" si="0"/>
        <v>#DIV/0!</v>
      </c>
      <c r="H55" t="str">
        <f>VLOOKUP(C55,'11.Region'!$B$22:$E$243,4,FALSE)</f>
        <v>Africa</v>
      </c>
      <c r="I55" s="430">
        <f>$K$3</f>
        <v>3.0325616327831186</v>
      </c>
      <c r="J55" t="s">
        <v>244</v>
      </c>
    </row>
    <row r="56" spans="3:12">
      <c r="C56" s="440" t="s">
        <v>601</v>
      </c>
      <c r="D56" s="438">
        <v>1.1294900000000001</v>
      </c>
      <c r="F56" s="438">
        <v>0</v>
      </c>
      <c r="G56" s="439" t="e">
        <f t="shared" si="0"/>
        <v>#DIV/0!</v>
      </c>
      <c r="H56" t="str">
        <f>VLOOKUP(C56,'11.Region'!$B$22:$E$243,4,FALSE)</f>
        <v>Africa</v>
      </c>
      <c r="I56" s="430">
        <f>$K$3</f>
        <v>3.0325616327831186</v>
      </c>
      <c r="J56" t="s">
        <v>244</v>
      </c>
    </row>
    <row r="57" spans="3:12">
      <c r="C57" s="440" t="s">
        <v>289</v>
      </c>
      <c r="D57" s="438">
        <v>1.1294900000000001</v>
      </c>
      <c r="E57" s="438">
        <v>1</v>
      </c>
      <c r="F57" s="438">
        <v>1.01090506442159</v>
      </c>
      <c r="G57" s="439">
        <f t="shared" si="0"/>
        <v>1.117305709261889</v>
      </c>
      <c r="H57" t="str">
        <f>VLOOKUP(C57,'11.Region'!$B$22:$E$243,4,FALSE)</f>
        <v>Americas</v>
      </c>
      <c r="I57" s="430">
        <f>G57</f>
        <v>1.117305709261889</v>
      </c>
      <c r="K57" s="429">
        <f>AVERAGE(G57:G89)</f>
        <v>1.9628994497935313</v>
      </c>
      <c r="L57" s="427" t="s">
        <v>245</v>
      </c>
    </row>
    <row r="58" spans="3:12">
      <c r="C58" s="440" t="s">
        <v>653</v>
      </c>
      <c r="D58" s="438">
        <v>1.1294900000000001</v>
      </c>
      <c r="E58" s="438">
        <v>1</v>
      </c>
      <c r="F58" s="438">
        <v>1</v>
      </c>
      <c r="G58" s="439">
        <f t="shared" si="0"/>
        <v>1.1294900000000001</v>
      </c>
      <c r="H58" t="str">
        <f>VLOOKUP(C58,'11.Region'!$B$22:$E$243,4,FALSE)</f>
        <v>Americas</v>
      </c>
      <c r="I58" s="430">
        <f t="shared" ref="I58:I89" si="2">G58</f>
        <v>1.1294900000000001</v>
      </c>
    </row>
    <row r="59" spans="3:12">
      <c r="C59" s="440" t="s">
        <v>313</v>
      </c>
      <c r="D59" s="438">
        <v>1.1294900000000001</v>
      </c>
      <c r="E59" s="437">
        <v>1.298</v>
      </c>
      <c r="F59" s="438">
        <v>1.260086</v>
      </c>
      <c r="G59" s="439">
        <f t="shared" si="0"/>
        <v>1.1634745723704574</v>
      </c>
      <c r="H59" t="str">
        <f>VLOOKUP(C59,'11.Region'!$B$22:$E$243,4,FALSE)</f>
        <v>Americas</v>
      </c>
      <c r="I59" s="430">
        <f t="shared" si="2"/>
        <v>1.1634745723704574</v>
      </c>
    </row>
    <row r="60" spans="3:12">
      <c r="C60" s="440" t="s">
        <v>303</v>
      </c>
      <c r="D60" s="438">
        <v>1.1294900000000001</v>
      </c>
      <c r="E60" s="438">
        <v>2</v>
      </c>
      <c r="F60" s="438">
        <v>1.8014139203822801</v>
      </c>
      <c r="G60" s="439">
        <f t="shared" si="0"/>
        <v>1.2540038546613537</v>
      </c>
      <c r="H60" t="str">
        <f>VLOOKUP(C60,'11.Region'!$B$22:$E$243,4,FALSE)</f>
        <v>Americas</v>
      </c>
      <c r="I60" s="430">
        <f t="shared" si="2"/>
        <v>1.2540038546613537</v>
      </c>
    </row>
    <row r="61" spans="3:12">
      <c r="C61" s="440" t="s">
        <v>651</v>
      </c>
      <c r="D61" s="438">
        <v>1.1294900000000001</v>
      </c>
      <c r="E61" s="438">
        <v>28.2364</v>
      </c>
      <c r="F61" s="438">
        <v>21.759382262689901</v>
      </c>
      <c r="G61" s="439">
        <f t="shared" si="0"/>
        <v>1.4657002230566731</v>
      </c>
      <c r="H61" t="str">
        <f>VLOOKUP(C61,'11.Region'!$B$22:$E$243,4,FALSE)</f>
        <v>Americas</v>
      </c>
      <c r="I61" s="430">
        <f t="shared" si="2"/>
        <v>1.4657002230566731</v>
      </c>
    </row>
    <row r="62" spans="3:12">
      <c r="C62" s="440" t="s">
        <v>351</v>
      </c>
      <c r="D62" s="438">
        <v>1.1294900000000001</v>
      </c>
      <c r="E62" s="438">
        <v>2.7</v>
      </c>
      <c r="F62" s="438">
        <v>1.93465653722583</v>
      </c>
      <c r="G62" s="439">
        <f t="shared" si="0"/>
        <v>1.5763123538056831</v>
      </c>
      <c r="H62" t="str">
        <f>VLOOKUP(C62,'11.Region'!$B$22:$E$243,4,FALSE)</f>
        <v>Americas</v>
      </c>
      <c r="I62" s="430">
        <f t="shared" si="2"/>
        <v>1.5763123538056831</v>
      </c>
    </row>
    <row r="63" spans="3:12">
      <c r="C63" s="440" t="s">
        <v>335</v>
      </c>
      <c r="D63" s="438">
        <v>1.1294900000000001</v>
      </c>
      <c r="E63" s="438">
        <v>553.84983</v>
      </c>
      <c r="F63" s="438">
        <v>390.705340687035</v>
      </c>
      <c r="G63" s="439">
        <f t="shared" si="0"/>
        <v>1.6011243751791864</v>
      </c>
      <c r="H63" t="str">
        <f>VLOOKUP(C63,'11.Region'!$B$22:$E$243,4,FALSE)</f>
        <v>Americas</v>
      </c>
      <c r="I63" s="430">
        <f t="shared" si="2"/>
        <v>1.6011243751791864</v>
      </c>
    </row>
    <row r="64" spans="3:12">
      <c r="C64" s="440" t="s">
        <v>401</v>
      </c>
      <c r="D64" s="438">
        <v>1.1294900000000001</v>
      </c>
      <c r="E64" s="438">
        <v>2.7</v>
      </c>
      <c r="F64" s="438">
        <v>1.8772193529230501</v>
      </c>
      <c r="G64" s="439">
        <f t="shared" si="0"/>
        <v>1.6245427020829402</v>
      </c>
      <c r="H64" t="str">
        <f>VLOOKUP(C64,'11.Region'!$B$22:$E$243,4,FALSE)</f>
        <v>Americas</v>
      </c>
      <c r="I64" s="430">
        <f t="shared" si="2"/>
        <v>1.6245427020829402</v>
      </c>
    </row>
    <row r="65" spans="3:9">
      <c r="C65" s="440" t="s">
        <v>260</v>
      </c>
      <c r="D65" s="438">
        <v>1.1294900000000001</v>
      </c>
      <c r="E65" s="436">
        <v>16.5321</v>
      </c>
      <c r="F65" s="438">
        <v>11.473535519166401</v>
      </c>
      <c r="G65" s="439">
        <f t="shared" si="0"/>
        <v>1.6274705907178522</v>
      </c>
      <c r="H65" t="str">
        <f>VLOOKUP(C65,'11.Region'!$B$22:$E$243,4,FALSE)</f>
        <v>Americas</v>
      </c>
      <c r="I65" s="430">
        <f t="shared" si="2"/>
        <v>1.6274705907178522</v>
      </c>
    </row>
    <row r="66" spans="3:9">
      <c r="C66" s="440" t="s">
        <v>469</v>
      </c>
      <c r="D66" s="438">
        <v>1.1294900000000001</v>
      </c>
      <c r="E66" s="438">
        <v>2.7</v>
      </c>
      <c r="F66" s="438">
        <v>1.81800302884694</v>
      </c>
      <c r="G66" s="439">
        <f t="shared" si="0"/>
        <v>1.6774576013408569</v>
      </c>
      <c r="H66" t="str">
        <f>VLOOKUP(C66,'11.Region'!$B$22:$E$243,4,FALSE)</f>
        <v>Americas</v>
      </c>
      <c r="I66" s="430">
        <f t="shared" si="2"/>
        <v>1.6774576013408569</v>
      </c>
    </row>
    <row r="67" spans="3:9">
      <c r="C67" s="440" t="s">
        <v>317</v>
      </c>
      <c r="D67" s="438">
        <v>1.1294900000000001</v>
      </c>
      <c r="E67" s="438">
        <v>645.82664</v>
      </c>
      <c r="F67" s="438">
        <v>413.42360600000001</v>
      </c>
      <c r="G67" s="439">
        <f t="shared" ref="G67:G130" si="3">D67*E67/F67</f>
        <v>1.7644244813964496</v>
      </c>
      <c r="H67" t="str">
        <f>VLOOKUP(C67,'11.Region'!$B$22:$E$243,4,FALSE)</f>
        <v>Americas</v>
      </c>
      <c r="I67" s="430">
        <f t="shared" si="2"/>
        <v>1.7644244813964496</v>
      </c>
    </row>
    <row r="68" spans="3:9">
      <c r="C68" s="440" t="s">
        <v>267</v>
      </c>
      <c r="D68" s="438">
        <v>1.1294900000000001</v>
      </c>
      <c r="E68" s="438">
        <v>2.7</v>
      </c>
      <c r="F68" s="438">
        <v>1.7190306246393501</v>
      </c>
      <c r="G68" s="439">
        <f t="shared" si="3"/>
        <v>1.7740364576924315</v>
      </c>
      <c r="H68" t="str">
        <f>VLOOKUP(C68,'11.Region'!$B$22:$E$243,4,FALSE)</f>
        <v>Americas</v>
      </c>
      <c r="I68" s="430">
        <f t="shared" si="2"/>
        <v>1.7740364576924315</v>
      </c>
    </row>
    <row r="69" spans="3:9">
      <c r="C69" s="440" t="s">
        <v>301</v>
      </c>
      <c r="D69" s="438">
        <v>1.1294900000000001</v>
      </c>
      <c r="E69" s="438">
        <v>3.1907199999999998</v>
      </c>
      <c r="F69" s="438">
        <v>2.0243457768318098</v>
      </c>
      <c r="G69" s="439">
        <f t="shared" si="3"/>
        <v>1.7802721126230918</v>
      </c>
      <c r="H69" t="str">
        <f>VLOOKUP(C69,'11.Region'!$B$22:$E$243,4,FALSE)</f>
        <v>Americas</v>
      </c>
      <c r="I69" s="430">
        <f t="shared" si="2"/>
        <v>1.7802721126230918</v>
      </c>
    </row>
    <row r="70" spans="3:9">
      <c r="C70" s="440" t="s">
        <v>455</v>
      </c>
      <c r="D70" s="438">
        <v>1.1294900000000001</v>
      </c>
      <c r="E70" s="438">
        <v>2.7</v>
      </c>
      <c r="F70" s="438">
        <v>1.70478903847639</v>
      </c>
      <c r="G70" s="439">
        <f t="shared" si="3"/>
        <v>1.7888565277997799</v>
      </c>
      <c r="H70" t="str">
        <f>VLOOKUP(C70,'11.Region'!$B$22:$E$243,4,FALSE)</f>
        <v>Americas</v>
      </c>
      <c r="I70" s="430">
        <f t="shared" si="2"/>
        <v>1.7888565277997799</v>
      </c>
    </row>
    <row r="71" spans="3:9">
      <c r="C71" s="440" t="s">
        <v>549</v>
      </c>
      <c r="D71" s="438">
        <v>1.1294900000000001</v>
      </c>
      <c r="E71" s="438">
        <v>1</v>
      </c>
      <c r="F71" s="438">
        <v>0.61718478439930402</v>
      </c>
      <c r="G71" s="439">
        <f t="shared" si="3"/>
        <v>1.8300677990616934</v>
      </c>
      <c r="H71" t="str">
        <f>VLOOKUP(C71,'11.Region'!$B$22:$E$243,4,FALSE)</f>
        <v>Americas</v>
      </c>
      <c r="I71" s="430">
        <f t="shared" si="2"/>
        <v>1.8300677990616934</v>
      </c>
    </row>
    <row r="72" spans="3:9">
      <c r="C72" s="440" t="s">
        <v>657</v>
      </c>
      <c r="D72" s="438">
        <v>1.1294900000000001</v>
      </c>
      <c r="E72" s="438">
        <v>2.7</v>
      </c>
      <c r="F72" s="438">
        <v>1.6472984713788901</v>
      </c>
      <c r="G72" s="439">
        <f t="shared" si="3"/>
        <v>1.8512874582147087</v>
      </c>
      <c r="H72" t="str">
        <f>VLOOKUP(C72,'11.Region'!$B$22:$E$243,4,FALSE)</f>
        <v>Americas</v>
      </c>
      <c r="I72" s="430">
        <f t="shared" si="2"/>
        <v>1.8512874582147087</v>
      </c>
    </row>
    <row r="73" spans="3:9">
      <c r="C73" s="440" t="s">
        <v>409</v>
      </c>
      <c r="D73" s="438">
        <v>1.1294900000000001</v>
      </c>
      <c r="E73" s="438">
        <v>198.80174</v>
      </c>
      <c r="F73" s="438">
        <v>119.542572517499</v>
      </c>
      <c r="G73" s="439">
        <f t="shared" si="3"/>
        <v>1.8783649421609236</v>
      </c>
      <c r="H73" t="str">
        <f>VLOOKUP(C73,'11.Region'!$B$22:$E$243,4,FALSE)</f>
        <v>Americas</v>
      </c>
      <c r="I73" s="430">
        <f t="shared" si="2"/>
        <v>1.8783649421609236</v>
      </c>
    </row>
    <row r="74" spans="3:9">
      <c r="C74" s="440" t="s">
        <v>439</v>
      </c>
      <c r="D74" s="438">
        <v>1.1294900000000001</v>
      </c>
      <c r="E74" s="438">
        <v>126.88545999999999</v>
      </c>
      <c r="F74" s="438">
        <v>72.686591923783595</v>
      </c>
      <c r="G74" s="439">
        <f t="shared" si="3"/>
        <v>1.971695940369244</v>
      </c>
      <c r="H74" t="str">
        <f>VLOOKUP(C74,'11.Region'!$B$22:$E$243,4,FALSE)</f>
        <v>Americas</v>
      </c>
      <c r="I74" s="430">
        <f t="shared" si="2"/>
        <v>1.971695940369244</v>
      </c>
    </row>
    <row r="75" spans="3:9">
      <c r="C75" s="440" t="s">
        <v>295</v>
      </c>
      <c r="D75" s="438">
        <v>1.1294900000000001</v>
      </c>
      <c r="E75" s="438">
        <v>2</v>
      </c>
      <c r="F75" s="438">
        <v>1.14214172621669</v>
      </c>
      <c r="G75" s="439">
        <f t="shared" si="3"/>
        <v>1.9778456107043767</v>
      </c>
      <c r="H75" t="str">
        <f>VLOOKUP(C75,'11.Region'!$B$22:$E$243,4,FALSE)</f>
        <v>Americas</v>
      </c>
      <c r="I75" s="430">
        <f t="shared" si="2"/>
        <v>1.9778456107043767</v>
      </c>
    </row>
    <row r="76" spans="3:9">
      <c r="C76" s="440" t="s">
        <v>405</v>
      </c>
      <c r="D76" s="438">
        <v>1.1294900000000001</v>
      </c>
      <c r="E76" s="438">
        <v>7.18309</v>
      </c>
      <c r="F76" s="438">
        <v>4.0308377143937504</v>
      </c>
      <c r="G76" s="439">
        <f t="shared" si="3"/>
        <v>2.0127896231417131</v>
      </c>
      <c r="H76" t="str">
        <f>VLOOKUP(C76,'11.Region'!$B$22:$E$243,4,FALSE)</f>
        <v>Americas</v>
      </c>
      <c r="I76" s="430">
        <f t="shared" si="2"/>
        <v>2.0127896231417131</v>
      </c>
    </row>
    <row r="77" spans="3:9">
      <c r="C77" s="440" t="s">
        <v>359</v>
      </c>
      <c r="D77" s="438">
        <v>1.1294900000000001</v>
      </c>
      <c r="E77" s="438">
        <v>1</v>
      </c>
      <c r="F77" s="438">
        <v>0.53359029793736601</v>
      </c>
      <c r="G77" s="439">
        <f t="shared" si="3"/>
        <v>2.1167738700762175</v>
      </c>
      <c r="H77" t="str">
        <f>VLOOKUP(C77,'11.Region'!$B$22:$E$243,4,FALSE)</f>
        <v>Americas</v>
      </c>
      <c r="I77" s="430">
        <f t="shared" si="2"/>
        <v>2.1167738700762175</v>
      </c>
    </row>
    <row r="78" spans="3:9">
      <c r="C78" s="440" t="s">
        <v>637</v>
      </c>
      <c r="D78" s="438">
        <v>1.1294900000000001</v>
      </c>
      <c r="E78" s="438">
        <v>6.6286399999999999</v>
      </c>
      <c r="F78" s="438">
        <v>3.4622162270099399</v>
      </c>
      <c r="G78" s="439">
        <f t="shared" si="3"/>
        <v>2.1624826708370994</v>
      </c>
      <c r="H78" t="str">
        <f>VLOOKUP(C78,'11.Region'!$B$22:$E$243,4,FALSE)</f>
        <v>Americas</v>
      </c>
      <c r="I78" s="430">
        <f t="shared" si="2"/>
        <v>2.1624826708370994</v>
      </c>
    </row>
    <row r="79" spans="3:9">
      <c r="C79" s="440" t="s">
        <v>413</v>
      </c>
      <c r="D79" s="438">
        <v>1.1294900000000001</v>
      </c>
      <c r="E79" s="438">
        <v>23.124829999999999</v>
      </c>
      <c r="F79" s="438">
        <v>11.6823631907139</v>
      </c>
      <c r="G79" s="439">
        <f t="shared" si="3"/>
        <v>2.2357860143794994</v>
      </c>
      <c r="H79" t="str">
        <f>VLOOKUP(C79,'11.Region'!$B$22:$E$243,4,FALSE)</f>
        <v>Americas</v>
      </c>
      <c r="I79" s="430">
        <f t="shared" si="2"/>
        <v>2.2357860143794994</v>
      </c>
    </row>
    <row r="80" spans="3:9">
      <c r="C80" s="440" t="s">
        <v>551</v>
      </c>
      <c r="D80" s="438">
        <v>1.1294900000000001</v>
      </c>
      <c r="E80" s="438">
        <v>3.2229899999999998</v>
      </c>
      <c r="F80" s="438">
        <v>1.59512337178714</v>
      </c>
      <c r="G80" s="439">
        <f t="shared" si="3"/>
        <v>2.2821651537971333</v>
      </c>
      <c r="H80" t="str">
        <f>VLOOKUP(C80,'11.Region'!$B$22:$E$243,4,FALSE)</f>
        <v>Americas</v>
      </c>
      <c r="I80" s="430">
        <f t="shared" si="2"/>
        <v>2.2821651537971333</v>
      </c>
    </row>
    <row r="81" spans="3:10">
      <c r="C81" s="440" t="s">
        <v>497</v>
      </c>
      <c r="D81" s="438">
        <v>1.1294900000000001</v>
      </c>
      <c r="E81" s="438">
        <v>18.90363</v>
      </c>
      <c r="F81" s="438">
        <v>9.2854510000000001</v>
      </c>
      <c r="G81" s="439">
        <f t="shared" si="3"/>
        <v>2.2994533112823494</v>
      </c>
      <c r="H81" t="str">
        <f>VLOOKUP(C81,'11.Region'!$B$22:$E$243,4,FALSE)</f>
        <v>Americas</v>
      </c>
      <c r="I81" s="430">
        <f t="shared" si="2"/>
        <v>2.2994533112823494</v>
      </c>
    </row>
    <row r="82" spans="3:10">
      <c r="C82" s="440" t="s">
        <v>593</v>
      </c>
      <c r="D82" s="438">
        <v>1.1294900000000001</v>
      </c>
      <c r="E82" s="432">
        <v>1</v>
      </c>
      <c r="F82" s="432">
        <v>0.485795653310238</v>
      </c>
      <c r="G82" s="439">
        <f t="shared" si="3"/>
        <v>2.3250310954896238</v>
      </c>
      <c r="H82" t="str">
        <f>VLOOKUP(C82,'11.Region'!$B$22:$E$243,4,FALSE)</f>
        <v>Americas</v>
      </c>
      <c r="I82" s="430">
        <f t="shared" si="2"/>
        <v>2.3250310954896238</v>
      </c>
    </row>
    <row r="83" spans="3:10">
      <c r="C83" s="440" t="s">
        <v>299</v>
      </c>
      <c r="D83" s="438">
        <v>1.1294900000000001</v>
      </c>
      <c r="E83" s="438">
        <v>6.7774900000000002</v>
      </c>
      <c r="F83" s="438">
        <v>3.1022954198650998</v>
      </c>
      <c r="G83" s="439">
        <f t="shared" si="3"/>
        <v>2.4675622866480187</v>
      </c>
      <c r="H83" t="str">
        <f>VLOOKUP(C83,'11.Region'!$B$22:$E$243,4,FALSE)</f>
        <v>Americas</v>
      </c>
      <c r="I83" s="430">
        <f t="shared" si="2"/>
        <v>2.4675622866480187</v>
      </c>
    </row>
    <row r="84" spans="3:10">
      <c r="C84" s="440" t="s">
        <v>567</v>
      </c>
      <c r="D84" s="438">
        <v>1.1294900000000001</v>
      </c>
      <c r="E84" s="438">
        <v>5513.8901599999999</v>
      </c>
      <c r="F84" s="438">
        <v>2505.7090131397499</v>
      </c>
      <c r="G84" s="439">
        <f t="shared" si="3"/>
        <v>2.485477668859331</v>
      </c>
      <c r="H84" t="str">
        <f>VLOOKUP(C84,'11.Region'!$B$22:$E$243,4,FALSE)</f>
        <v>Americas</v>
      </c>
      <c r="I84" s="430">
        <f t="shared" si="2"/>
        <v>2.485477668859331</v>
      </c>
    </row>
    <row r="85" spans="3:10">
      <c r="C85" s="440" t="s">
        <v>355</v>
      </c>
      <c r="D85" s="438">
        <v>1.1294900000000001</v>
      </c>
      <c r="E85" s="438">
        <v>46.838909999999998</v>
      </c>
      <c r="F85" s="438">
        <v>20.934745642488799</v>
      </c>
      <c r="G85" s="439">
        <f t="shared" si="3"/>
        <v>2.5270944944526477</v>
      </c>
      <c r="H85" t="str">
        <f>VLOOKUP(C85,'11.Region'!$B$22:$E$243,4,FALSE)</f>
        <v>Americas</v>
      </c>
      <c r="I85" s="430">
        <f t="shared" si="2"/>
        <v>2.5270944944526477</v>
      </c>
    </row>
    <row r="86" spans="3:10">
      <c r="C86" s="440" t="s">
        <v>329</v>
      </c>
      <c r="D86" s="438">
        <v>1.1294900000000001</v>
      </c>
      <c r="E86" s="438">
        <v>2941.8349400000002</v>
      </c>
      <c r="F86" s="438">
        <v>1278.0404018831</v>
      </c>
      <c r="G86" s="439">
        <f t="shared" si="3"/>
        <v>2.5998967962865138</v>
      </c>
      <c r="H86" t="str">
        <f>VLOOKUP(C86,'11.Region'!$B$22:$E$243,4,FALSE)</f>
        <v>Americas</v>
      </c>
      <c r="I86" s="430">
        <f t="shared" si="2"/>
        <v>2.5998967962865138</v>
      </c>
    </row>
    <row r="87" spans="3:10">
      <c r="C87" s="440" t="s">
        <v>417</v>
      </c>
      <c r="D87" s="438">
        <v>1.1294900000000001</v>
      </c>
      <c r="E87" s="438">
        <v>64.112539999999996</v>
      </c>
      <c r="F87" s="438">
        <v>27.692046680367</v>
      </c>
      <c r="G87" s="439">
        <f t="shared" si="3"/>
        <v>2.6149917209239768</v>
      </c>
      <c r="H87" t="str">
        <f>VLOOKUP(C87,'11.Region'!$B$22:$E$243,4,FALSE)</f>
        <v>Americas</v>
      </c>
      <c r="I87" s="430">
        <f t="shared" si="2"/>
        <v>2.6149917209239768</v>
      </c>
    </row>
    <row r="88" spans="3:10">
      <c r="C88" s="440" t="s">
        <v>605</v>
      </c>
      <c r="D88" s="438">
        <v>1.1294900000000001</v>
      </c>
      <c r="E88" s="438">
        <v>7.4244000000000003</v>
      </c>
      <c r="F88" s="438">
        <v>2.9231660338134802</v>
      </c>
      <c r="G88" s="439">
        <f t="shared" si="3"/>
        <v>2.8687339203446278</v>
      </c>
      <c r="H88" t="str">
        <f>VLOOKUP(C88,'11.Region'!$B$22:$E$243,4,FALSE)</f>
        <v>Americas</v>
      </c>
      <c r="I88" s="430">
        <f t="shared" si="2"/>
        <v>2.8687339203446278</v>
      </c>
    </row>
    <row r="89" spans="3:10">
      <c r="C89" s="440" t="s">
        <v>533</v>
      </c>
      <c r="D89" s="438">
        <v>1.1294900000000001</v>
      </c>
      <c r="E89" s="438">
        <v>29.582640000000001</v>
      </c>
      <c r="F89" s="438">
        <v>11.428389665460401</v>
      </c>
      <c r="G89" s="439">
        <f t="shared" si="3"/>
        <v>2.9237099041681942</v>
      </c>
      <c r="H89" t="str">
        <f>VLOOKUP(C89,'11.Region'!$B$22:$E$243,4,FALSE)</f>
        <v>Americas</v>
      </c>
      <c r="I89" s="430">
        <f t="shared" si="2"/>
        <v>2.9237099041681942</v>
      </c>
    </row>
    <row r="90" spans="3:10">
      <c r="C90" s="440" t="s">
        <v>243</v>
      </c>
      <c r="D90" s="438">
        <v>1.1294900000000001</v>
      </c>
      <c r="E90" s="438">
        <v>1.7874099999999999</v>
      </c>
      <c r="G90" s="439" t="e">
        <f t="shared" si="3"/>
        <v>#DIV/0!</v>
      </c>
      <c r="H90" t="str">
        <f>VLOOKUP(C90,'11.Region'!$B$22:$E$243,4,FALSE)</f>
        <v>Americas</v>
      </c>
      <c r="I90" s="430">
        <f>$K$57</f>
        <v>1.9628994497935313</v>
      </c>
      <c r="J90" t="s">
        <v>244</v>
      </c>
    </row>
    <row r="91" spans="3:10">
      <c r="C91" s="440" t="s">
        <v>297</v>
      </c>
      <c r="D91" s="438">
        <v>1.1294900000000001</v>
      </c>
      <c r="E91" s="438">
        <v>1</v>
      </c>
      <c r="G91" s="439" t="e">
        <f t="shared" si="3"/>
        <v>#DIV/0!</v>
      </c>
      <c r="H91" t="str">
        <f>VLOOKUP(C91,'11.Region'!$B$22:$E$243,4,FALSE)</f>
        <v>Americas</v>
      </c>
      <c r="I91" s="430">
        <f t="shared" ref="I91:I102" si="4">$K$57</f>
        <v>1.9628994497935313</v>
      </c>
      <c r="J91" t="s">
        <v>244</v>
      </c>
    </row>
    <row r="92" spans="3:10">
      <c r="C92" s="440" t="s">
        <v>337</v>
      </c>
      <c r="D92" s="438">
        <v>1.1294900000000001</v>
      </c>
      <c r="G92" s="439" t="e">
        <f t="shared" si="3"/>
        <v>#DIV/0!</v>
      </c>
      <c r="H92" t="str">
        <f>VLOOKUP(C92,'11.Region'!$B$22:$E$243,4,FALSE)</f>
        <v>Americas</v>
      </c>
      <c r="I92" s="430">
        <f t="shared" si="4"/>
        <v>1.9628994497935313</v>
      </c>
      <c r="J92" t="s">
        <v>244</v>
      </c>
    </row>
    <row r="93" spans="3:10">
      <c r="C93" s="440" t="s">
        <v>339</v>
      </c>
      <c r="D93" s="438">
        <v>1.1294900000000001</v>
      </c>
      <c r="G93" s="439" t="e">
        <f t="shared" si="3"/>
        <v>#DIV/0!</v>
      </c>
      <c r="H93" t="str">
        <f>VLOOKUP(C93,'11.Region'!$B$22:$E$243,4,FALSE)</f>
        <v>Americas</v>
      </c>
      <c r="I93" s="430">
        <f t="shared" si="4"/>
        <v>1.9628994497935313</v>
      </c>
      <c r="J93" t="s">
        <v>244</v>
      </c>
    </row>
    <row r="94" spans="3:10">
      <c r="C94" s="440" t="s">
        <v>341</v>
      </c>
      <c r="D94" s="438">
        <v>1.1294900000000001</v>
      </c>
      <c r="G94" s="439" t="e">
        <f t="shared" si="3"/>
        <v>#DIV/0!</v>
      </c>
      <c r="H94" t="str">
        <f>VLOOKUP(C94,'11.Region'!$B$22:$E$243,4,FALSE)</f>
        <v>Americas</v>
      </c>
      <c r="I94" s="430">
        <f t="shared" si="4"/>
        <v>1.9628994497935313</v>
      </c>
      <c r="J94" t="s">
        <v>244</v>
      </c>
    </row>
    <row r="95" spans="3:10">
      <c r="C95" s="440" t="s">
        <v>403</v>
      </c>
      <c r="D95" s="438">
        <v>1.1294900000000001</v>
      </c>
      <c r="E95" s="433">
        <v>6.5973600000000001</v>
      </c>
      <c r="G95" s="439" t="e">
        <f t="shared" si="3"/>
        <v>#DIV/0!</v>
      </c>
      <c r="H95" t="str">
        <f>VLOOKUP(C95,'11.Region'!$B$22:$E$243,4,FALSE)</f>
        <v>Americas</v>
      </c>
      <c r="I95" s="430">
        <f t="shared" si="4"/>
        <v>1.9628994497935313</v>
      </c>
      <c r="J95" t="s">
        <v>244</v>
      </c>
    </row>
    <row r="96" spans="3:10">
      <c r="C96" s="440" t="s">
        <v>485</v>
      </c>
      <c r="D96" s="438">
        <v>1.1294900000000001</v>
      </c>
      <c r="G96" s="439" t="e">
        <f t="shared" si="3"/>
        <v>#DIV/0!</v>
      </c>
      <c r="H96" t="str">
        <f>VLOOKUP(C96,'11.Region'!$B$22:$E$243,4,FALSE)</f>
        <v>Americas</v>
      </c>
      <c r="I96" s="430">
        <f t="shared" si="4"/>
        <v>1.9628994497935313</v>
      </c>
      <c r="J96" t="s">
        <v>244</v>
      </c>
    </row>
    <row r="97" spans="3:12">
      <c r="C97" s="440" t="s">
        <v>561</v>
      </c>
      <c r="D97" s="438">
        <v>1.1294900000000001</v>
      </c>
      <c r="G97" s="439" t="e">
        <f t="shared" si="3"/>
        <v>#DIV/0!</v>
      </c>
      <c r="H97" t="str">
        <f>VLOOKUP(C97,'11.Region'!$B$22:$E$243,4,FALSE)</f>
        <v>Americas</v>
      </c>
      <c r="I97" s="430">
        <f t="shared" si="4"/>
        <v>1.9628994497935313</v>
      </c>
      <c r="J97" t="s">
        <v>244</v>
      </c>
    </row>
    <row r="98" spans="3:12">
      <c r="C98" s="440" t="s">
        <v>615</v>
      </c>
      <c r="D98" s="438">
        <v>1.1294900000000001</v>
      </c>
      <c r="G98" s="439" t="e">
        <f t="shared" si="3"/>
        <v>#DIV/0!</v>
      </c>
      <c r="H98" t="str">
        <f>VLOOKUP(C98,'11.Region'!$B$22:$E$243,4,FALSE)</f>
        <v>Americas</v>
      </c>
      <c r="I98" s="430">
        <f t="shared" si="4"/>
        <v>1.9628994497935313</v>
      </c>
      <c r="J98" t="s">
        <v>244</v>
      </c>
    </row>
    <row r="99" spans="3:12">
      <c r="C99" s="440" t="s">
        <v>621</v>
      </c>
      <c r="D99" s="438">
        <v>1.1294900000000001</v>
      </c>
      <c r="G99" s="439" t="e">
        <f t="shared" si="3"/>
        <v>#DIV/0!</v>
      </c>
      <c r="H99" t="str">
        <f>VLOOKUP(C99,'11.Region'!$B$22:$E$243,4,FALSE)</f>
        <v>Americas</v>
      </c>
      <c r="I99" s="430">
        <f t="shared" si="4"/>
        <v>1.9628994497935313</v>
      </c>
      <c r="J99" t="s">
        <v>244</v>
      </c>
    </row>
    <row r="100" spans="3:12">
      <c r="C100" s="440" t="s">
        <v>659</v>
      </c>
      <c r="D100" s="438">
        <v>1.1294900000000001</v>
      </c>
      <c r="G100" s="439" t="e">
        <f t="shared" si="3"/>
        <v>#DIV/0!</v>
      </c>
      <c r="H100" t="str">
        <f>VLOOKUP(C100,'11.Region'!$B$22:$E$243,4,FALSE)</f>
        <v>Americas</v>
      </c>
      <c r="I100" s="430">
        <f t="shared" si="4"/>
        <v>1.9628994497935313</v>
      </c>
      <c r="J100" t="s">
        <v>244</v>
      </c>
    </row>
    <row r="101" spans="3:12">
      <c r="C101" s="440" t="s">
        <v>661</v>
      </c>
      <c r="D101" s="438">
        <v>1.1294900000000001</v>
      </c>
      <c r="G101" s="439" t="e">
        <f t="shared" si="3"/>
        <v>#DIV/0!</v>
      </c>
      <c r="H101" t="str">
        <f>VLOOKUP(C101,'11.Region'!$B$22:$E$243,4,FALSE)</f>
        <v>Americas</v>
      </c>
      <c r="I101" s="430">
        <f t="shared" si="4"/>
        <v>1.9628994497935313</v>
      </c>
      <c r="J101" t="s">
        <v>244</v>
      </c>
    </row>
    <row r="102" spans="3:12">
      <c r="C102" s="440" t="s">
        <v>663</v>
      </c>
      <c r="D102" s="438">
        <v>1.1294900000000001</v>
      </c>
      <c r="G102" s="439" t="e">
        <f t="shared" si="3"/>
        <v>#DIV/0!</v>
      </c>
      <c r="H102" t="str">
        <f>VLOOKUP(C102,'11.Region'!$B$22:$E$243,4,FALSE)</f>
        <v>Americas</v>
      </c>
      <c r="I102" s="430">
        <f t="shared" si="4"/>
        <v>1.9628994497935313</v>
      </c>
      <c r="J102" t="s">
        <v>244</v>
      </c>
    </row>
    <row r="103" spans="3:12">
      <c r="C103" s="440" t="s">
        <v>569</v>
      </c>
      <c r="D103" s="438">
        <v>1.1294900000000001</v>
      </c>
      <c r="F103" s="438">
        <v>2.28021651476943</v>
      </c>
      <c r="G103" s="439">
        <f t="shared" si="3"/>
        <v>0</v>
      </c>
      <c r="H103" t="str">
        <f>VLOOKUP(C103,'11.Region'!$B$22:$E$243,4,FALSE)</f>
        <v>Asia</v>
      </c>
      <c r="I103" s="430">
        <f>$K$103</f>
        <v>3.0027294367224551</v>
      </c>
      <c r="J103" t="s">
        <v>244</v>
      </c>
      <c r="K103" s="429">
        <f>AVERAGE(G104:G149)</f>
        <v>3.0027294367224551</v>
      </c>
      <c r="L103" s="427" t="s">
        <v>248</v>
      </c>
    </row>
    <row r="104" spans="3:12">
      <c r="C104" s="440" t="s">
        <v>435</v>
      </c>
      <c r="D104" s="438">
        <v>1.1294900000000001</v>
      </c>
      <c r="E104" s="438">
        <v>3.5956299999999999</v>
      </c>
      <c r="F104" s="438">
        <v>3.7736239999999999</v>
      </c>
      <c r="G104" s="439">
        <f t="shared" si="3"/>
        <v>1.0762143045253052</v>
      </c>
      <c r="H104" t="str">
        <f>VLOOKUP(C104,'11.Region'!$B$22:$E$243,4,FALSE)</f>
        <v>Asia</v>
      </c>
      <c r="I104" s="430">
        <f>G104</f>
        <v>1.0762143045253052</v>
      </c>
    </row>
    <row r="105" spans="3:12">
      <c r="C105" s="440" t="s">
        <v>443</v>
      </c>
      <c r="D105" s="438">
        <v>1.1294900000000001</v>
      </c>
      <c r="E105" s="438">
        <v>112.14867</v>
      </c>
      <c r="F105" s="438">
        <v>98.239493999999993</v>
      </c>
      <c r="G105" s="439">
        <f t="shared" si="3"/>
        <v>1.289408120101881</v>
      </c>
      <c r="H105" t="str">
        <f>VLOOKUP(C105,'11.Region'!$B$22:$E$243,4,FALSE)</f>
        <v>Asia</v>
      </c>
      <c r="I105" s="430">
        <f t="shared" ref="I105:I149" si="5">G105</f>
        <v>1.289408120101881</v>
      </c>
    </row>
    <row r="106" spans="3:12">
      <c r="C106" s="440" t="s">
        <v>457</v>
      </c>
      <c r="D106" s="438">
        <v>1.1294900000000001</v>
      </c>
      <c r="E106" s="438">
        <v>1128.64633</v>
      </c>
      <c r="F106" s="438">
        <v>878.77373</v>
      </c>
      <c r="G106" s="439">
        <f t="shared" si="3"/>
        <v>1.4506518569594702</v>
      </c>
      <c r="H106" t="str">
        <f>VLOOKUP(C106,'11.Region'!$B$22:$E$243,4,FALSE)</f>
        <v>Asia</v>
      </c>
      <c r="I106" s="430">
        <f t="shared" si="5"/>
        <v>1.4506518569594702</v>
      </c>
    </row>
    <row r="107" spans="3:12">
      <c r="C107" s="440" t="s">
        <v>411</v>
      </c>
      <c r="D107" s="438">
        <v>1.1294900000000001</v>
      </c>
      <c r="E107" s="438">
        <v>7.7920600000000002</v>
      </c>
      <c r="F107" s="438">
        <v>5.8497749528696197</v>
      </c>
      <c r="G107" s="439">
        <f t="shared" si="3"/>
        <v>1.5045115274191232</v>
      </c>
      <c r="H107" t="str">
        <f>VLOOKUP(C107,'11.Region'!$B$22:$E$243,4,FALSE)</f>
        <v>Asia</v>
      </c>
      <c r="I107" s="430">
        <f t="shared" si="5"/>
        <v>1.5045115274191232</v>
      </c>
    </row>
    <row r="108" spans="3:12">
      <c r="C108" s="440" t="s">
        <v>343</v>
      </c>
      <c r="D108" s="438">
        <v>1.1294900000000001</v>
      </c>
      <c r="E108" s="438">
        <f>1/1.12949</f>
        <v>0.88535533736465122</v>
      </c>
      <c r="F108" s="438">
        <v>0.64898604908278901</v>
      </c>
      <c r="G108" s="439">
        <f t="shared" si="3"/>
        <v>1.5408651717757238</v>
      </c>
      <c r="H108" t="str">
        <f>VLOOKUP(C108,'11.Region'!$B$22:$E$243,4,FALSE)</f>
        <v>Asia</v>
      </c>
      <c r="I108" s="430">
        <f t="shared" si="5"/>
        <v>1.5408651717757238</v>
      </c>
    </row>
    <row r="109" spans="3:12">
      <c r="C109" s="440" t="s">
        <v>483</v>
      </c>
      <c r="D109" s="438">
        <v>1.1294900000000001</v>
      </c>
      <c r="E109" s="438">
        <v>7.8552299999999997</v>
      </c>
      <c r="F109" s="438">
        <v>5.6395797814874697</v>
      </c>
      <c r="G109" s="439">
        <f t="shared" si="3"/>
        <v>1.5732384462091706</v>
      </c>
      <c r="H109" t="str">
        <f>VLOOKUP(C109,'11.Region'!$B$22:$E$243,4,FALSE)</f>
        <v>Asia</v>
      </c>
      <c r="I109" s="430">
        <f t="shared" si="5"/>
        <v>1.5732384462091706</v>
      </c>
    </row>
    <row r="110" spans="3:12">
      <c r="C110" s="440" t="s">
        <v>495</v>
      </c>
      <c r="D110" s="438">
        <v>1.1294900000000001</v>
      </c>
      <c r="E110" s="438">
        <v>15.22988</v>
      </c>
      <c r="F110" s="438">
        <v>9.7124280794573394</v>
      </c>
      <c r="G110" s="439">
        <f t="shared" si="3"/>
        <v>1.7711325139780212</v>
      </c>
      <c r="H110" t="str">
        <f>VLOOKUP(C110,'11.Region'!$B$22:$E$243,4,FALSE)</f>
        <v>Asia</v>
      </c>
      <c r="I110" s="430">
        <f t="shared" si="5"/>
        <v>1.7711325139780212</v>
      </c>
    </row>
    <row r="111" spans="3:12">
      <c r="C111" s="440" t="s">
        <v>587</v>
      </c>
      <c r="D111" s="438">
        <v>1.1294900000000001</v>
      </c>
      <c r="E111" s="438">
        <v>1.38069</v>
      </c>
      <c r="F111" s="438">
        <v>0.84870147734258605</v>
      </c>
      <c r="G111" s="439">
        <f t="shared" si="3"/>
        <v>1.8374841917124456</v>
      </c>
      <c r="H111" t="str">
        <f>VLOOKUP(C111,'11.Region'!$B$22:$E$243,4,FALSE)</f>
        <v>Asia</v>
      </c>
      <c r="I111" s="430">
        <f t="shared" si="5"/>
        <v>1.8374841917124456</v>
      </c>
    </row>
    <row r="112" spans="3:12">
      <c r="C112" s="440" t="s">
        <v>463</v>
      </c>
      <c r="D112" s="438">
        <v>1.1294900000000001</v>
      </c>
      <c r="E112" s="432">
        <v>1485.82845</v>
      </c>
      <c r="F112" s="432">
        <v>875.56989920604201</v>
      </c>
      <c r="G112" s="439">
        <f t="shared" si="3"/>
        <v>1.9167268969756734</v>
      </c>
      <c r="H112" t="str">
        <f>VLOOKUP(C112,'11.Region'!$B$22:$E$243,4,FALSE)</f>
        <v>Asia</v>
      </c>
      <c r="I112" s="430">
        <f t="shared" si="5"/>
        <v>1.9167268969756734</v>
      </c>
    </row>
    <row r="113" spans="3:9">
      <c r="C113" s="440" t="s">
        <v>258</v>
      </c>
      <c r="D113" s="438">
        <v>1.1294900000000001</v>
      </c>
      <c r="E113" s="438">
        <v>3.6721499999999998</v>
      </c>
      <c r="F113" s="438">
        <v>2.0231405565280101</v>
      </c>
      <c r="G113" s="439">
        <f t="shared" si="3"/>
        <v>2.0501080313559403</v>
      </c>
      <c r="H113" t="str">
        <f>VLOOKUP(C113,'11.Region'!$B$22:$E$243,4,FALSE)</f>
        <v>Asia</v>
      </c>
      <c r="I113" s="430">
        <f t="shared" si="5"/>
        <v>2.0501080313559403</v>
      </c>
    </row>
    <row r="114" spans="3:9">
      <c r="C114" s="440" t="s">
        <v>319</v>
      </c>
      <c r="D114" s="438">
        <v>1.1294900000000001</v>
      </c>
      <c r="E114" s="438">
        <v>6.7582100000000001</v>
      </c>
      <c r="F114" s="438">
        <v>3.5497592688073101</v>
      </c>
      <c r="G114" s="439">
        <f t="shared" si="3"/>
        <v>2.1503797961670617</v>
      </c>
      <c r="H114" t="str">
        <f>VLOOKUP(C114,'11.Region'!$B$22:$E$243,4,FALSE)</f>
        <v>Asia</v>
      </c>
      <c r="I114" s="430">
        <f t="shared" si="5"/>
        <v>2.1503797961670617</v>
      </c>
    </row>
    <row r="115" spans="3:9">
      <c r="C115" s="440" t="s">
        <v>287</v>
      </c>
      <c r="D115" s="438">
        <v>1.1294900000000001</v>
      </c>
      <c r="E115" s="438">
        <v>0.37404999999999999</v>
      </c>
      <c r="F115" s="438">
        <v>0.18714228331905999</v>
      </c>
      <c r="G115" s="439">
        <f t="shared" si="3"/>
        <v>2.2575642821440924</v>
      </c>
      <c r="H115" t="str">
        <f>VLOOKUP(C115,'11.Region'!$B$22:$E$243,4,FALSE)</f>
        <v>Asia</v>
      </c>
      <c r="I115" s="430">
        <f t="shared" si="5"/>
        <v>2.2575642821440924</v>
      </c>
    </row>
    <row r="116" spans="3:9">
      <c r="C116" s="440" t="s">
        <v>573</v>
      </c>
      <c r="D116" s="438">
        <v>1.1294900000000001</v>
      </c>
      <c r="E116" s="438">
        <v>3.6274899999999999</v>
      </c>
      <c r="F116" s="438">
        <v>1.80062463601717</v>
      </c>
      <c r="G116" s="439">
        <f t="shared" si="3"/>
        <v>2.2754401989982163</v>
      </c>
      <c r="H116" t="str">
        <f>VLOOKUP(C116,'11.Region'!$B$22:$E$243,4,FALSE)</f>
        <v>Asia</v>
      </c>
      <c r="I116" s="430">
        <f t="shared" si="5"/>
        <v>2.2754401989982163</v>
      </c>
    </row>
    <row r="117" spans="3:9">
      <c r="C117" s="440" t="s">
        <v>441</v>
      </c>
      <c r="D117" s="438">
        <v>1.1294900000000001</v>
      </c>
      <c r="E117" s="438">
        <v>0.70691000000000004</v>
      </c>
      <c r="F117" s="438">
        <v>0.32033331089147099</v>
      </c>
      <c r="G117" s="439">
        <f t="shared" si="3"/>
        <v>2.4925530650495307</v>
      </c>
      <c r="H117" t="str">
        <f>VLOOKUP(C117,'11.Region'!$B$22:$E$243,4,FALSE)</f>
        <v>Asia</v>
      </c>
      <c r="I117" s="430">
        <f t="shared" si="5"/>
        <v>2.4925530650495307</v>
      </c>
    </row>
    <row r="118" spans="3:9">
      <c r="C118" s="440" t="s">
        <v>262</v>
      </c>
      <c r="D118" s="438">
        <v>1.1294900000000001</v>
      </c>
      <c r="E118" s="438">
        <v>466.05248</v>
      </c>
      <c r="F118" s="438">
        <v>196.97951259922999</v>
      </c>
      <c r="G118" s="439">
        <f t="shared" si="3"/>
        <v>2.6723673375423806</v>
      </c>
      <c r="H118" t="str">
        <f>VLOOKUP(C118,'11.Region'!$B$22:$E$243,4,FALSE)</f>
        <v>Asia</v>
      </c>
      <c r="I118" s="430">
        <f t="shared" si="5"/>
        <v>2.6723673375423806</v>
      </c>
    </row>
    <row r="119" spans="3:9">
      <c r="C119" s="440" t="s">
        <v>631</v>
      </c>
      <c r="D119" s="438">
        <v>1.1294900000000001</v>
      </c>
      <c r="E119" s="438">
        <v>3.4114100000000001</v>
      </c>
      <c r="F119" s="438">
        <v>1.43087554470926</v>
      </c>
      <c r="G119" s="439">
        <f t="shared" si="3"/>
        <v>2.6928641663820763</v>
      </c>
      <c r="H119" t="str">
        <f>VLOOKUP(C119,'11.Region'!$B$22:$E$243,4,FALSE)</f>
        <v>Asia</v>
      </c>
      <c r="I119" s="430">
        <f t="shared" si="5"/>
        <v>2.6928641663820763</v>
      </c>
    </row>
    <row r="120" spans="3:9">
      <c r="C120" s="440" t="s">
        <v>459</v>
      </c>
      <c r="D120" s="438">
        <v>1.1294900000000001</v>
      </c>
      <c r="E120" s="438">
        <v>0.30281000000000002</v>
      </c>
      <c r="F120" s="438">
        <v>0.122429440333495</v>
      </c>
      <c r="G120" s="439">
        <f t="shared" si="3"/>
        <v>2.7936161920559552</v>
      </c>
      <c r="H120" t="str">
        <f>VLOOKUP(C120,'11.Region'!$B$22:$E$243,4,FALSE)</f>
        <v>Asia</v>
      </c>
      <c r="I120" s="430">
        <f t="shared" si="5"/>
        <v>2.7936161920559552</v>
      </c>
    </row>
    <row r="121" spans="3:9">
      <c r="C121" s="440" t="s">
        <v>283</v>
      </c>
      <c r="D121" s="438">
        <v>1.1294900000000001</v>
      </c>
      <c r="E121" s="438">
        <v>79.938900000000004</v>
      </c>
      <c r="F121" s="438">
        <v>31.013712346941801</v>
      </c>
      <c r="G121" s="439">
        <f t="shared" si="3"/>
        <v>2.911298949024506</v>
      </c>
      <c r="H121" t="str">
        <f>VLOOKUP(C121,'11.Region'!$B$22:$E$243,4,FALSE)</f>
        <v>Asia</v>
      </c>
      <c r="I121" s="430">
        <f t="shared" si="5"/>
        <v>2.911298949024506</v>
      </c>
    </row>
    <row r="122" spans="3:9">
      <c r="C122" s="440" t="s">
        <v>581</v>
      </c>
      <c r="D122" s="438">
        <v>1.1294900000000001</v>
      </c>
      <c r="E122" s="438">
        <v>3.7478600000000002</v>
      </c>
      <c r="F122" s="438">
        <v>1.44588687728558</v>
      </c>
      <c r="G122" s="439">
        <f t="shared" si="3"/>
        <v>2.9277327693485242</v>
      </c>
      <c r="H122" t="str">
        <f>VLOOKUP(C122,'11.Region'!$B$22:$E$243,4,FALSE)</f>
        <v>Asia</v>
      </c>
      <c r="I122" s="430">
        <f t="shared" si="5"/>
        <v>2.9277327693485242</v>
      </c>
    </row>
    <row r="123" spans="3:9">
      <c r="C123" s="440" t="s">
        <v>385</v>
      </c>
      <c r="D123" s="438">
        <v>1.1294900000000001</v>
      </c>
      <c r="E123" s="438">
        <v>2.4919799999999999</v>
      </c>
      <c r="F123" s="438">
        <v>0.95660210293676895</v>
      </c>
      <c r="G123" s="439">
        <f t="shared" si="3"/>
        <v>2.9423586688331254</v>
      </c>
      <c r="H123" t="str">
        <f>VLOOKUP(C123,'11.Region'!$B$22:$E$243,4,FALSE)</f>
        <v>Asia</v>
      </c>
      <c r="I123" s="430">
        <f t="shared" si="5"/>
        <v>2.9423586688331254</v>
      </c>
    </row>
    <row r="124" spans="3:9">
      <c r="C124" s="440" t="s">
        <v>641</v>
      </c>
      <c r="D124" s="438">
        <v>1.1294900000000001</v>
      </c>
      <c r="E124" s="438">
        <v>3.6432799999999999</v>
      </c>
      <c r="F124" s="438">
        <v>1.37744</v>
      </c>
      <c r="G124" s="439">
        <f t="shared" si="3"/>
        <v>2.9874610343826231</v>
      </c>
      <c r="H124" t="str">
        <f>VLOOKUP(C124,'11.Region'!$B$22:$E$243,4,FALSE)</f>
        <v>Asia</v>
      </c>
      <c r="I124" s="430">
        <f t="shared" si="5"/>
        <v>2.9874610343826231</v>
      </c>
    </row>
    <row r="125" spans="3:9">
      <c r="C125" s="440" t="s">
        <v>545</v>
      </c>
      <c r="D125" s="438">
        <v>1.1294900000000001</v>
      </c>
      <c r="E125" s="438">
        <v>0.38381999999999999</v>
      </c>
      <c r="F125" s="438">
        <v>0.144557583109135</v>
      </c>
      <c r="G125" s="439">
        <f t="shared" si="3"/>
        <v>2.9989492247716245</v>
      </c>
      <c r="H125" t="str">
        <f>VLOOKUP(C125,'11.Region'!$B$22:$E$243,4,FALSE)</f>
        <v>Asia</v>
      </c>
      <c r="I125" s="430">
        <f t="shared" si="5"/>
        <v>2.9989492247716245</v>
      </c>
    </row>
    <row r="126" spans="3:9">
      <c r="C126" s="440" t="s">
        <v>627</v>
      </c>
      <c r="D126" s="438">
        <v>1.1294900000000001</v>
      </c>
      <c r="E126" s="438">
        <v>33.867040000000003</v>
      </c>
      <c r="F126" s="438">
        <v>12.5230239086361</v>
      </c>
      <c r="G126" s="439">
        <f t="shared" si="3"/>
        <v>3.0545723851265998</v>
      </c>
      <c r="H126" t="str">
        <f>VLOOKUP(C126,'11.Region'!$B$22:$E$243,4,FALSE)</f>
        <v>Asia</v>
      </c>
      <c r="I126" s="430">
        <f t="shared" si="5"/>
        <v>3.0545723851265998</v>
      </c>
    </row>
    <row r="127" spans="3:9">
      <c r="C127" s="440" t="s">
        <v>305</v>
      </c>
      <c r="D127" s="438">
        <v>1.1294900000000001</v>
      </c>
      <c r="E127" s="438">
        <v>1.3677900000000001</v>
      </c>
      <c r="F127" s="438">
        <v>0.49554020132565302</v>
      </c>
      <c r="G127" s="439">
        <f t="shared" si="3"/>
        <v>3.1176181528100453</v>
      </c>
      <c r="H127" t="str">
        <f>VLOOKUP(C127,'11.Region'!$B$22:$E$243,4,FALSE)</f>
        <v>Asia</v>
      </c>
      <c r="I127" s="430">
        <f t="shared" si="5"/>
        <v>3.1176181528100453</v>
      </c>
    </row>
    <row r="128" spans="3:9">
      <c r="C128" s="440" t="s">
        <v>461</v>
      </c>
      <c r="D128" s="438">
        <v>1.1294900000000001</v>
      </c>
      <c r="E128" s="438">
        <v>8103.4088199999997</v>
      </c>
      <c r="F128" s="438">
        <v>2922.0796716975501</v>
      </c>
      <c r="G128" s="439">
        <f t="shared" si="3"/>
        <v>3.1322620381478607</v>
      </c>
      <c r="H128" t="str">
        <f>VLOOKUP(C128,'11.Region'!$B$22:$E$243,4,FALSE)</f>
        <v>Asia</v>
      </c>
      <c r="I128" s="430">
        <f t="shared" si="5"/>
        <v>3.1322620381478607</v>
      </c>
    </row>
    <row r="129" spans="3:9">
      <c r="C129" s="440" t="s">
        <v>553</v>
      </c>
      <c r="D129" s="438">
        <v>1.1294900000000001</v>
      </c>
      <c r="E129" s="438">
        <v>50.324579999999997</v>
      </c>
      <c r="F129" s="438">
        <v>18.057989462174302</v>
      </c>
      <c r="G129" s="439">
        <f t="shared" si="3"/>
        <v>3.1476986949883816</v>
      </c>
      <c r="H129" t="str">
        <f>VLOOKUP(C129,'11.Region'!$B$22:$E$243,4,FALSE)</f>
        <v>Asia</v>
      </c>
      <c r="I129" s="430">
        <f t="shared" si="5"/>
        <v>3.1476986949883816</v>
      </c>
    </row>
    <row r="130" spans="3:9">
      <c r="C130" s="440" t="s">
        <v>451</v>
      </c>
      <c r="D130" s="438">
        <v>1.1294900000000001</v>
      </c>
      <c r="E130" s="438">
        <v>3982.2845499999999</v>
      </c>
      <c r="F130" s="438">
        <v>1401.31376937768</v>
      </c>
      <c r="G130" s="439">
        <f t="shared" si="3"/>
        <v>3.2098097333169209</v>
      </c>
      <c r="H130" t="str">
        <f>VLOOKUP(C130,'11.Region'!$B$22:$E$243,4,FALSE)</f>
        <v>Asia</v>
      </c>
      <c r="I130" s="430">
        <f t="shared" si="5"/>
        <v>3.2098097333169209</v>
      </c>
    </row>
    <row r="131" spans="3:9">
      <c r="C131" s="440" t="s">
        <v>665</v>
      </c>
      <c r="D131" s="438">
        <v>1.1294900000000001</v>
      </c>
      <c r="E131" s="438">
        <v>22456.299630000001</v>
      </c>
      <c r="F131" s="438">
        <v>7735.7139795257399</v>
      </c>
      <c r="G131" s="439">
        <f t="shared" ref="G131:G194" si="6">D131*E131/F131</f>
        <v>3.2788396696440074</v>
      </c>
      <c r="H131" t="str">
        <f>VLOOKUP(C131,'11.Region'!$B$22:$E$243,4,FALSE)</f>
        <v>Asia</v>
      </c>
      <c r="I131" s="430">
        <f t="shared" si="5"/>
        <v>3.2788396696440074</v>
      </c>
    </row>
    <row r="132" spans="3:9">
      <c r="C132" s="440" t="s">
        <v>307</v>
      </c>
      <c r="D132" s="438">
        <v>1.1294900000000001</v>
      </c>
      <c r="E132" s="438">
        <v>65.089330000000004</v>
      </c>
      <c r="F132" s="438">
        <v>22.121183665657799</v>
      </c>
      <c r="G132" s="439">
        <f t="shared" si="6"/>
        <v>3.3234092918740692</v>
      </c>
      <c r="H132" t="str">
        <f>VLOOKUP(C132,'11.Region'!$B$22:$E$243,4,FALSE)</f>
        <v>Asia</v>
      </c>
      <c r="I132" s="430">
        <f t="shared" si="5"/>
        <v>3.3234092918740692</v>
      </c>
    </row>
    <row r="133" spans="3:9">
      <c r="C133" s="440" t="s">
        <v>523</v>
      </c>
      <c r="D133" s="438">
        <v>1.1294900000000001</v>
      </c>
      <c r="E133" s="438">
        <v>4.29819</v>
      </c>
      <c r="F133" s="438">
        <v>1.4531067341180699</v>
      </c>
      <c r="G133" s="439">
        <f t="shared" si="6"/>
        <v>3.3409539086930788</v>
      </c>
      <c r="H133" t="str">
        <f>VLOOKUP(C133,'11.Region'!$B$22:$E$243,4,FALSE)</f>
        <v>Asia</v>
      </c>
      <c r="I133" s="430">
        <f t="shared" si="5"/>
        <v>3.3409539086930788</v>
      </c>
    </row>
    <row r="134" spans="3:9">
      <c r="C134" s="440" t="s">
        <v>445</v>
      </c>
      <c r="D134" s="438">
        <v>1.1294900000000001</v>
      </c>
      <c r="E134" s="438">
        <v>324.40776</v>
      </c>
      <c r="F134" s="438">
        <v>109.09011626749501</v>
      </c>
      <c r="G134" s="439">
        <f t="shared" si="6"/>
        <v>3.3588315181911566</v>
      </c>
      <c r="H134" t="str">
        <f>VLOOKUP(C134,'11.Region'!$B$22:$E$243,4,FALSE)</f>
        <v>Asia</v>
      </c>
      <c r="I134" s="430">
        <f t="shared" si="5"/>
        <v>3.3588315181911566</v>
      </c>
    </row>
    <row r="135" spans="3:9">
      <c r="C135" s="440" t="s">
        <v>449</v>
      </c>
      <c r="D135" s="438">
        <v>1.1294900000000001</v>
      </c>
      <c r="E135" s="438">
        <v>68.863680000000002</v>
      </c>
      <c r="F135" s="438">
        <v>22.5484718277065</v>
      </c>
      <c r="G135" s="439">
        <f t="shared" si="6"/>
        <v>3.4494948712057099</v>
      </c>
      <c r="H135" t="str">
        <f>VLOOKUP(C135,'11.Region'!$B$22:$E$243,4,FALSE)</f>
        <v>Asia</v>
      </c>
      <c r="I135" s="430">
        <f t="shared" si="5"/>
        <v>3.4494948712057099</v>
      </c>
    </row>
    <row r="136" spans="3:9">
      <c r="C136" s="440" t="s">
        <v>539</v>
      </c>
      <c r="D136" s="438">
        <v>1.1294900000000001</v>
      </c>
      <c r="E136" s="438">
        <v>102.71526</v>
      </c>
      <c r="F136" s="438">
        <v>33.072737850539703</v>
      </c>
      <c r="G136" s="439">
        <f t="shared" si="6"/>
        <v>3.5079000577965997</v>
      </c>
      <c r="H136" t="str">
        <f>VLOOKUP(C136,'11.Region'!$B$22:$E$243,4,FALSE)</f>
        <v>Asia</v>
      </c>
      <c r="I136" s="430">
        <f t="shared" si="5"/>
        <v>3.5079000577965997</v>
      </c>
    </row>
    <row r="137" spans="3:9">
      <c r="C137" s="440" t="s">
        <v>473</v>
      </c>
      <c r="D137" s="438">
        <v>1.1294900000000001</v>
      </c>
      <c r="E137" s="438">
        <v>150.55942999999999</v>
      </c>
      <c r="F137" s="438">
        <v>48.374933421256799</v>
      </c>
      <c r="G137" s="439">
        <f t="shared" si="6"/>
        <v>3.5153613362075382</v>
      </c>
      <c r="H137" t="str">
        <f>VLOOKUP(C137,'11.Region'!$B$22:$E$243,4,FALSE)</f>
        <v>Asia</v>
      </c>
      <c r="I137" s="430">
        <f t="shared" si="5"/>
        <v>3.5153613362075382</v>
      </c>
    </row>
    <row r="138" spans="3:9">
      <c r="C138" s="440" t="s">
        <v>633</v>
      </c>
      <c r="D138" s="438">
        <v>1.1294900000000001</v>
      </c>
      <c r="E138" s="438">
        <v>1</v>
      </c>
      <c r="F138" s="438">
        <v>0.31599165515782301</v>
      </c>
      <c r="G138" s="439">
        <f t="shared" si="6"/>
        <v>3.5744298356102879</v>
      </c>
      <c r="H138" t="str">
        <f>VLOOKUP(C138,'11.Region'!$B$22:$E$243,4,FALSE)</f>
        <v>Asia</v>
      </c>
      <c r="I138" s="430">
        <f t="shared" si="5"/>
        <v>3.5744298356102879</v>
      </c>
    </row>
    <row r="139" spans="3:9">
      <c r="C139" s="440" t="s">
        <v>421</v>
      </c>
      <c r="D139" s="438">
        <v>1.1294900000000001</v>
      </c>
      <c r="E139" s="438">
        <v>13337.40336</v>
      </c>
      <c r="F139" s="438">
        <v>4190.4924702696098</v>
      </c>
      <c r="G139" s="439">
        <f t="shared" si="6"/>
        <v>3.5949148764649079</v>
      </c>
      <c r="H139" t="str">
        <f>VLOOKUP(C139,'11.Region'!$B$22:$E$243,4,FALSE)</f>
        <v>Asia</v>
      </c>
      <c r="I139" s="430">
        <f t="shared" si="5"/>
        <v>3.5949148764649079</v>
      </c>
    </row>
    <row r="140" spans="3:9">
      <c r="C140" s="440" t="s">
        <v>431</v>
      </c>
      <c r="D140" s="438">
        <v>1.1294900000000001</v>
      </c>
      <c r="E140" s="438">
        <v>1155.55961</v>
      </c>
      <c r="F140" s="438">
        <v>355.05913105779302</v>
      </c>
      <c r="G140" s="439">
        <f t="shared" si="6"/>
        <v>3.6759877714184279</v>
      </c>
      <c r="H140" t="str">
        <f>VLOOKUP(C140,'11.Region'!$B$22:$E$243,4,FALSE)</f>
        <v>Asia</v>
      </c>
      <c r="I140" s="430">
        <f t="shared" si="5"/>
        <v>3.6759877714184279</v>
      </c>
    </row>
    <row r="141" spans="3:9">
      <c r="C141" s="440" t="s">
        <v>247</v>
      </c>
      <c r="D141" s="438">
        <v>1.1294900000000001</v>
      </c>
      <c r="E141" s="438">
        <v>67.553380000000004</v>
      </c>
      <c r="F141" s="438">
        <v>20.205050824669598</v>
      </c>
      <c r="G141" s="439">
        <f t="shared" si="6"/>
        <v>3.7763264165136152</v>
      </c>
      <c r="H141" t="str">
        <f>VLOOKUP(C141,'11.Region'!$B$22:$E$243,4,FALSE)</f>
        <v>Asia</v>
      </c>
      <c r="I141" s="430">
        <f t="shared" si="5"/>
        <v>3.7763264165136152</v>
      </c>
    </row>
    <row r="142" spans="3:9">
      <c r="C142" s="440" t="s">
        <v>511</v>
      </c>
      <c r="D142" s="438">
        <v>1.1294900000000001</v>
      </c>
      <c r="E142" s="438">
        <v>2431.0014999999999</v>
      </c>
      <c r="F142" s="438">
        <v>701.02300204035203</v>
      </c>
      <c r="G142" s="439">
        <f t="shared" si="6"/>
        <v>3.9168356476795716</v>
      </c>
      <c r="H142" t="str">
        <f>VLOOKUP(C142,'11.Region'!$B$22:$E$243,4,FALSE)</f>
        <v>Asia</v>
      </c>
      <c r="I142" s="430">
        <f t="shared" si="5"/>
        <v>3.9168356476795716</v>
      </c>
    </row>
    <row r="143" spans="3:9">
      <c r="C143" s="440" t="s">
        <v>547</v>
      </c>
      <c r="D143" s="438">
        <v>1.1294900000000001</v>
      </c>
      <c r="E143" s="438">
        <v>104.36447</v>
      </c>
      <c r="F143" s="438">
        <v>29.3509185684774</v>
      </c>
      <c r="G143" s="439">
        <f t="shared" si="6"/>
        <v>4.0161818085959498</v>
      </c>
      <c r="H143" t="str">
        <f>VLOOKUP(C143,'11.Region'!$B$22:$E$243,4,FALSE)</f>
        <v>Asia</v>
      </c>
      <c r="I143" s="430">
        <f t="shared" si="5"/>
        <v>4.0161818085959498</v>
      </c>
    </row>
    <row r="144" spans="3:9">
      <c r="C144" s="440" t="s">
        <v>425</v>
      </c>
      <c r="D144" s="438">
        <v>1.1294900000000001</v>
      </c>
      <c r="E144" s="438">
        <v>65.048370000000006</v>
      </c>
      <c r="F144" s="438">
        <v>17.729170233043401</v>
      </c>
      <c r="G144" s="439">
        <f t="shared" si="6"/>
        <v>4.1441016395885688</v>
      </c>
      <c r="H144" t="str">
        <f>VLOOKUP(C144,'11.Region'!$B$22:$E$243,4,FALSE)</f>
        <v>Asia</v>
      </c>
      <c r="I144" s="430">
        <f t="shared" si="5"/>
        <v>4.1441016395885688</v>
      </c>
    </row>
    <row r="145" spans="3:12">
      <c r="C145" s="440" t="s">
        <v>429</v>
      </c>
      <c r="D145" s="438">
        <v>1.1294900000000001</v>
      </c>
      <c r="E145" s="438">
        <v>32929.177250000001</v>
      </c>
      <c r="F145" s="438">
        <v>8720.1654729431993</v>
      </c>
      <c r="G145" s="439">
        <f t="shared" si="6"/>
        <v>4.2651915869606993</v>
      </c>
      <c r="H145" t="str">
        <f>VLOOKUP(C145,'11.Region'!$B$22:$E$243,4,FALSE)</f>
        <v>Asia</v>
      </c>
      <c r="I145" s="430">
        <f t="shared" si="5"/>
        <v>4.2651915869606993</v>
      </c>
    </row>
    <row r="146" spans="3:12">
      <c r="C146" s="440" t="s">
        <v>629</v>
      </c>
      <c r="D146" s="438">
        <v>1.1294900000000001</v>
      </c>
      <c r="E146" s="438">
        <v>8.4917400000000001</v>
      </c>
      <c r="F146" s="438">
        <v>2.1532039924397401</v>
      </c>
      <c r="G146" s="439">
        <f t="shared" si="6"/>
        <v>4.4544480905092065</v>
      </c>
      <c r="H146" t="str">
        <f>VLOOKUP(C146,'11.Region'!$B$22:$E$243,4,FALSE)</f>
        <v>Asia</v>
      </c>
      <c r="I146" s="430">
        <f t="shared" si="5"/>
        <v>4.4544480905092065</v>
      </c>
    </row>
    <row r="147" spans="3:12">
      <c r="C147" s="440" t="s">
        <v>273</v>
      </c>
      <c r="D147" s="438">
        <v>1.1294900000000001</v>
      </c>
      <c r="E147" s="438">
        <v>1.71207</v>
      </c>
      <c r="F147" s="438">
        <v>0.40874092310211901</v>
      </c>
      <c r="G147" s="439">
        <f t="shared" si="6"/>
        <v>4.7310309171486411</v>
      </c>
      <c r="H147" t="str">
        <f>VLOOKUP(C147,'11.Region'!$B$22:$E$243,4,FALSE)</f>
        <v>Asia</v>
      </c>
      <c r="I147" s="430">
        <f t="shared" si="5"/>
        <v>4.7310309171486411</v>
      </c>
    </row>
    <row r="148" spans="3:12">
      <c r="C148" s="440" t="s">
        <v>655</v>
      </c>
      <c r="D148" s="438">
        <v>1.1294900000000001</v>
      </c>
      <c r="E148" s="438">
        <v>5070.3450800000001</v>
      </c>
      <c r="F148" s="438">
        <v>1120.52942618577</v>
      </c>
      <c r="G148" s="439">
        <f t="shared" si="6"/>
        <v>5.110891272086727</v>
      </c>
      <c r="H148" t="str">
        <f>VLOOKUP(C148,'11.Region'!$B$22:$E$243,4,FALSE)</f>
        <v>Asia</v>
      </c>
      <c r="I148" s="430">
        <f t="shared" si="5"/>
        <v>5.110891272086727</v>
      </c>
    </row>
    <row r="149" spans="3:12">
      <c r="C149" s="440" t="s">
        <v>507</v>
      </c>
      <c r="D149" s="438">
        <v>1.1294900000000001</v>
      </c>
      <c r="E149" s="438">
        <v>1342.9090000000001</v>
      </c>
      <c r="F149" s="438">
        <v>285.35266000155099</v>
      </c>
      <c r="G149" s="439">
        <f t="shared" si="6"/>
        <v>5.315535822941885</v>
      </c>
      <c r="H149" t="str">
        <f>VLOOKUP(C149,'11.Region'!$B$22:$E$243,4,FALSE)</f>
        <v>Asia</v>
      </c>
      <c r="I149" s="430">
        <f t="shared" si="5"/>
        <v>5.315535822941885</v>
      </c>
    </row>
    <row r="150" spans="3:12">
      <c r="C150" s="440" t="s">
        <v>563</v>
      </c>
      <c r="D150" s="438">
        <v>1.1294900000000001</v>
      </c>
      <c r="G150" s="439" t="e">
        <f t="shared" si="6"/>
        <v>#DIV/0!</v>
      </c>
      <c r="H150" t="str">
        <f>VLOOKUP(C150,'11.Region'!$B$22:$E$243,4,FALSE)</f>
        <v>Asia</v>
      </c>
      <c r="I150" s="430">
        <f>$K$103</f>
        <v>3.0027294367224551</v>
      </c>
      <c r="J150" t="s">
        <v>244</v>
      </c>
    </row>
    <row r="151" spans="3:12">
      <c r="C151" s="440" t="s">
        <v>619</v>
      </c>
      <c r="D151" s="438">
        <v>1.1294900000000001</v>
      </c>
      <c r="G151" s="439" t="e">
        <f t="shared" si="6"/>
        <v>#DIV/0!</v>
      </c>
      <c r="H151" t="str">
        <f>VLOOKUP(C151,'11.Region'!$B$22:$E$243,4,FALSE)</f>
        <v>Asia</v>
      </c>
      <c r="I151" s="430">
        <f>$K$103</f>
        <v>3.0027294367224551</v>
      </c>
      <c r="J151" t="s">
        <v>244</v>
      </c>
    </row>
    <row r="152" spans="3:12">
      <c r="C152" s="440" t="s">
        <v>673</v>
      </c>
      <c r="D152" s="438">
        <v>1.1294900000000001</v>
      </c>
      <c r="F152" s="438">
        <v>0</v>
      </c>
      <c r="G152" s="439" t="e">
        <f t="shared" si="6"/>
        <v>#DIV/0!</v>
      </c>
      <c r="H152" t="str">
        <f>VLOOKUP(C152,'11.Region'!$B$22:$E$243,4,FALSE)</f>
        <v>Asia</v>
      </c>
      <c r="I152" s="430">
        <f>$K$103</f>
        <v>3.0027294367224551</v>
      </c>
      <c r="J152" t="s">
        <v>244</v>
      </c>
    </row>
    <row r="153" spans="3:12">
      <c r="C153" s="440" t="s">
        <v>537</v>
      </c>
      <c r="D153" s="438">
        <v>1.1294900000000001</v>
      </c>
      <c r="E153" s="438">
        <v>8.2649399999999993</v>
      </c>
      <c r="F153" s="438">
        <v>10.242149</v>
      </c>
      <c r="G153" s="439">
        <f t="shared" si="6"/>
        <v>0.91144613113908035</v>
      </c>
      <c r="H153" t="str">
        <f>VLOOKUP(C153,'11.Region'!$B$22:$E$243,4,FALSE)</f>
        <v>Europe</v>
      </c>
      <c r="I153" s="430">
        <f>G153</f>
        <v>0.91144613113908035</v>
      </c>
      <c r="K153" s="429">
        <f>AVERAGE(G153:G193)</f>
        <v>1.9328616451977572</v>
      </c>
      <c r="L153" s="427" t="s">
        <v>254</v>
      </c>
    </row>
    <row r="154" spans="3:12">
      <c r="C154" s="440" t="s">
        <v>559</v>
      </c>
      <c r="D154" s="438">
        <v>1.1294900000000001</v>
      </c>
      <c r="E154" s="438">
        <v>3.7740800000000001</v>
      </c>
      <c r="F154" s="438">
        <v>1.7820419999999999</v>
      </c>
      <c r="G154" s="439">
        <f t="shared" si="6"/>
        <v>2.3920792098053809</v>
      </c>
      <c r="H154" t="str">
        <f>VLOOKUP(C154,'11.Region'!$B$22:$E$243,4,FALSE)</f>
        <v>Europe</v>
      </c>
      <c r="I154" s="430">
        <f t="shared" ref="I154:I193" si="7">G154</f>
        <v>2.3920792098053809</v>
      </c>
    </row>
    <row r="155" spans="3:12">
      <c r="C155" s="440" t="s">
        <v>505</v>
      </c>
      <c r="D155" s="438">
        <v>1.1294900000000001</v>
      </c>
      <c r="E155" s="438">
        <v>0.38078000000000001</v>
      </c>
      <c r="F155" s="438">
        <v>0.60482899579581295</v>
      </c>
      <c r="G155" s="439">
        <f t="shared" si="6"/>
        <v>0.71108892792764722</v>
      </c>
      <c r="H155" t="str">
        <f>VLOOKUP(C155,'11.Region'!$B$22:$E$243,4,FALSE)</f>
        <v>Europe</v>
      </c>
      <c r="I155" s="430">
        <f t="shared" si="7"/>
        <v>0.71108892792764722</v>
      </c>
    </row>
    <row r="156" spans="3:12">
      <c r="C156" s="440" t="s">
        <v>433</v>
      </c>
      <c r="D156" s="438">
        <v>1.1294900000000001</v>
      </c>
      <c r="E156" s="438">
        <v>106.39519</v>
      </c>
      <c r="F156" s="438">
        <v>139.86222599999999</v>
      </c>
      <c r="G156" s="439">
        <f t="shared" si="6"/>
        <v>0.8592191515177231</v>
      </c>
      <c r="H156" t="str">
        <f>VLOOKUP(C156,'11.Region'!$B$22:$E$243,4,FALSE)</f>
        <v>Europe</v>
      </c>
      <c r="I156" s="430">
        <f t="shared" si="7"/>
        <v>0.8592191515177231</v>
      </c>
    </row>
    <row r="157" spans="3:12">
      <c r="C157" s="440" t="s">
        <v>315</v>
      </c>
      <c r="D157" s="438">
        <v>1.1294900000000001</v>
      </c>
      <c r="E157" s="438">
        <v>0.98443000000000003</v>
      </c>
      <c r="F157" s="438">
        <v>1.21468</v>
      </c>
      <c r="G157" s="439">
        <f t="shared" si="6"/>
        <v>0.9153882839101658</v>
      </c>
      <c r="H157" t="str">
        <f>VLOOKUP(C157,'11.Region'!$B$22:$E$243,4,FALSE)</f>
        <v>Europe</v>
      </c>
      <c r="I157" s="430">
        <f t="shared" si="7"/>
        <v>0.9153882839101658</v>
      </c>
    </row>
    <row r="158" spans="3:12">
      <c r="C158" s="440" t="s">
        <v>353</v>
      </c>
      <c r="D158" s="438">
        <v>1.1294900000000001</v>
      </c>
      <c r="E158" s="433">
        <v>6.5973600000000001</v>
      </c>
      <c r="F158" s="438">
        <v>7.3562820000000002</v>
      </c>
      <c r="G158" s="439">
        <f t="shared" si="6"/>
        <v>1.0129644494868468</v>
      </c>
      <c r="H158" t="str">
        <f>VLOOKUP(C158,'11.Region'!$B$22:$E$243,4,FALSE)</f>
        <v>Europe</v>
      </c>
      <c r="I158" s="430">
        <f t="shared" si="7"/>
        <v>1.0129644494868468</v>
      </c>
    </row>
    <row r="159" spans="3:12">
      <c r="C159" s="440" t="s">
        <v>611</v>
      </c>
      <c r="D159" s="438">
        <v>1.1294900000000001</v>
      </c>
      <c r="E159" s="438">
        <v>8.5409500000000005</v>
      </c>
      <c r="F159" s="438">
        <v>9.1246550000000006</v>
      </c>
      <c r="G159" s="439">
        <f t="shared" si="6"/>
        <v>1.0572364232401117</v>
      </c>
      <c r="H159" t="str">
        <f>VLOOKUP(C159,'11.Region'!$B$22:$E$243,4,FALSE)</f>
        <v>Europe</v>
      </c>
      <c r="I159" s="430">
        <f t="shared" si="7"/>
        <v>1.0572364232401117</v>
      </c>
    </row>
    <row r="160" spans="3:12">
      <c r="C160" s="440" t="s">
        <v>371</v>
      </c>
      <c r="D160" s="438">
        <v>1.1294900000000001</v>
      </c>
      <c r="E160" s="438">
        <f>1/1.12949</f>
        <v>0.88535533736465122</v>
      </c>
      <c r="F160" s="438">
        <v>0.89744599999999997</v>
      </c>
      <c r="G160" s="439">
        <f t="shared" si="6"/>
        <v>1.1142731707534492</v>
      </c>
      <c r="H160" t="str">
        <f>VLOOKUP(C160,'11.Region'!$B$22:$E$243,4,FALSE)</f>
        <v>Europe</v>
      </c>
      <c r="I160" s="430">
        <f t="shared" si="7"/>
        <v>1.1142731707534492</v>
      </c>
    </row>
    <row r="161" spans="3:9">
      <c r="C161" s="440" t="s">
        <v>479</v>
      </c>
      <c r="D161" s="438">
        <v>1.1294900000000001</v>
      </c>
      <c r="E161" s="438">
        <f>1/1.12949</f>
        <v>0.88535533736465122</v>
      </c>
      <c r="F161" s="438">
        <v>0.89117500000000005</v>
      </c>
      <c r="G161" s="439">
        <f t="shared" si="6"/>
        <v>1.1221140628944932</v>
      </c>
      <c r="H161" t="str">
        <f>VLOOKUP(C161,'11.Region'!$B$22:$E$243,4,FALSE)</f>
        <v>Europe</v>
      </c>
      <c r="I161" s="430">
        <f t="shared" si="7"/>
        <v>1.1221140628944932</v>
      </c>
    </row>
    <row r="162" spans="3:9">
      <c r="C162" s="440" t="s">
        <v>277</v>
      </c>
      <c r="D162" s="438">
        <v>1.1294900000000001</v>
      </c>
      <c r="E162" s="438">
        <f>1/1.12949</f>
        <v>0.88535533736465122</v>
      </c>
      <c r="F162" s="438">
        <v>0.80833900000000003</v>
      </c>
      <c r="G162" s="439">
        <f t="shared" si="6"/>
        <v>1.2371047295750917</v>
      </c>
      <c r="H162" t="str">
        <f>VLOOKUP(C162,'11.Region'!$B$22:$E$243,4,FALSE)</f>
        <v>Europe</v>
      </c>
      <c r="I162" s="430">
        <f t="shared" si="7"/>
        <v>1.2371047295750917</v>
      </c>
    </row>
    <row r="163" spans="3:9">
      <c r="C163" s="440" t="s">
        <v>535</v>
      </c>
      <c r="D163" s="438">
        <v>1.1294900000000001</v>
      </c>
      <c r="E163" s="438">
        <f>1/1.12949</f>
        <v>0.88535533736465122</v>
      </c>
      <c r="F163" s="438">
        <v>0.80831500000000001</v>
      </c>
      <c r="G163" s="439">
        <f t="shared" si="6"/>
        <v>1.2371414609403513</v>
      </c>
      <c r="H163" t="str">
        <f>VLOOKUP(C163,'11.Region'!$B$22:$E$243,4,FALSE)</f>
        <v>Europe</v>
      </c>
      <c r="I163" s="430">
        <f t="shared" si="7"/>
        <v>1.2371414609403513</v>
      </c>
    </row>
    <row r="164" spans="3:9">
      <c r="C164" s="440" t="s">
        <v>427</v>
      </c>
      <c r="D164" s="438">
        <v>1.1294900000000001</v>
      </c>
      <c r="E164" s="438">
        <f>1/1.12949</f>
        <v>0.88535533736465122</v>
      </c>
      <c r="F164" s="438">
        <v>0.80629200000000001</v>
      </c>
      <c r="G164" s="439">
        <f t="shared" si="6"/>
        <v>1.2402454693833003</v>
      </c>
      <c r="H164" t="str">
        <f>VLOOKUP(C164,'11.Region'!$B$22:$E$243,4,FALSE)</f>
        <v>Europe</v>
      </c>
      <c r="I164" s="430">
        <f t="shared" si="7"/>
        <v>1.2402454693833003</v>
      </c>
    </row>
    <row r="165" spans="3:9">
      <c r="C165" s="440" t="s">
        <v>383</v>
      </c>
      <c r="D165" s="438">
        <v>1.1294900000000001</v>
      </c>
      <c r="E165" s="438">
        <v>0.77666999999999997</v>
      </c>
      <c r="F165" s="438">
        <v>0.70340199999999997</v>
      </c>
      <c r="G165" s="439">
        <f t="shared" si="6"/>
        <v>1.2471403241674037</v>
      </c>
      <c r="H165" t="str">
        <f>VLOOKUP(C165,'11.Region'!$B$22:$E$243,4,FALSE)</f>
        <v>Europe</v>
      </c>
      <c r="I165" s="430">
        <f t="shared" si="7"/>
        <v>1.2471403241674037</v>
      </c>
    </row>
    <row r="166" spans="3:9">
      <c r="C166" s="440" t="s">
        <v>271</v>
      </c>
      <c r="D166" s="438">
        <v>1.1294900000000001</v>
      </c>
      <c r="E166" s="438">
        <f t="shared" ref="E166:E176" si="8">1/1.12949</f>
        <v>0.88535533736465122</v>
      </c>
      <c r="F166" s="438">
        <v>0.79847500000000005</v>
      </c>
      <c r="G166" s="439">
        <f t="shared" si="6"/>
        <v>1.252387363411503</v>
      </c>
      <c r="H166" t="str">
        <f>VLOOKUP(C166,'11.Region'!$B$22:$E$243,4,FALSE)</f>
        <v>Europe</v>
      </c>
      <c r="I166" s="430">
        <f t="shared" si="7"/>
        <v>1.252387363411503</v>
      </c>
    </row>
    <row r="167" spans="3:9">
      <c r="C167" s="440" t="s">
        <v>375</v>
      </c>
      <c r="D167" s="438">
        <v>1.1294900000000001</v>
      </c>
      <c r="E167" s="438">
        <f t="shared" si="8"/>
        <v>0.88535533736465122</v>
      </c>
      <c r="F167" s="438">
        <v>0.79815199999999997</v>
      </c>
      <c r="G167" s="439">
        <f t="shared" si="6"/>
        <v>1.2528941855686637</v>
      </c>
      <c r="H167" t="str">
        <f>VLOOKUP(C167,'11.Region'!$B$22:$E$243,4,FALSE)</f>
        <v>Europe</v>
      </c>
      <c r="I167" s="430">
        <f t="shared" si="7"/>
        <v>1.2528941855686637</v>
      </c>
    </row>
    <row r="168" spans="3:9">
      <c r="C168" s="440" t="s">
        <v>347</v>
      </c>
      <c r="D168" s="438">
        <v>1.1294900000000001</v>
      </c>
      <c r="E168" s="438">
        <f t="shared" si="8"/>
        <v>0.88535533736465122</v>
      </c>
      <c r="F168" s="438">
        <v>0.77811399999999997</v>
      </c>
      <c r="G168" s="439">
        <f t="shared" si="6"/>
        <v>1.2851587299547367</v>
      </c>
      <c r="H168" t="str">
        <f>VLOOKUP(C168,'11.Region'!$B$22:$E$243,4,FALSE)</f>
        <v>Europe</v>
      </c>
      <c r="I168" s="430">
        <f t="shared" si="7"/>
        <v>1.2851587299547367</v>
      </c>
    </row>
    <row r="169" spans="3:9">
      <c r="C169" s="440" t="s">
        <v>437</v>
      </c>
      <c r="D169" s="438">
        <v>1.1294900000000001</v>
      </c>
      <c r="E169" s="438">
        <f t="shared" si="8"/>
        <v>0.88535533736465122</v>
      </c>
      <c r="F169" s="438">
        <v>0.71213000000000004</v>
      </c>
      <c r="G169" s="439">
        <f t="shared" si="6"/>
        <v>1.4042379902545883</v>
      </c>
      <c r="H169" t="str">
        <f>VLOOKUP(C169,'11.Region'!$B$22:$E$243,4,FALSE)</f>
        <v>Europe</v>
      </c>
      <c r="I169" s="430">
        <f t="shared" si="7"/>
        <v>1.4042379902545883</v>
      </c>
    </row>
    <row r="170" spans="3:9">
      <c r="C170" s="440" t="s">
        <v>595</v>
      </c>
      <c r="D170" s="438">
        <v>1.1294900000000001</v>
      </c>
      <c r="E170" s="438">
        <f t="shared" si="8"/>
        <v>0.88535533736465122</v>
      </c>
      <c r="F170" s="438">
        <v>0.70598973886453797</v>
      </c>
      <c r="G170" s="439">
        <f t="shared" si="6"/>
        <v>1.4164511818660801</v>
      </c>
      <c r="H170" t="str">
        <f>VLOOKUP(C170,'11.Region'!$B$22:$E$243,4,FALSE)</f>
        <v>Europe</v>
      </c>
      <c r="I170" s="430">
        <f t="shared" si="7"/>
        <v>1.4164511818660801</v>
      </c>
    </row>
    <row r="171" spans="3:9">
      <c r="C171" s="440" t="s">
        <v>365</v>
      </c>
      <c r="D171" s="438">
        <v>1.1294900000000001</v>
      </c>
      <c r="E171" s="438">
        <f t="shared" si="8"/>
        <v>0.88535533736465122</v>
      </c>
      <c r="F171" s="438">
        <v>0.65596399999999999</v>
      </c>
      <c r="G171" s="439">
        <f t="shared" si="6"/>
        <v>1.5244739040557105</v>
      </c>
      <c r="H171" t="str">
        <f>VLOOKUP(C171,'11.Region'!$B$22:$E$243,4,FALSE)</f>
        <v>Europe</v>
      </c>
      <c r="I171" s="430">
        <f t="shared" si="7"/>
        <v>1.5244739040557105</v>
      </c>
    </row>
    <row r="172" spans="3:9">
      <c r="C172" s="440" t="s">
        <v>609</v>
      </c>
      <c r="D172" s="438">
        <v>1.1294900000000001</v>
      </c>
      <c r="E172" s="438">
        <f t="shared" si="8"/>
        <v>0.88535533736465122</v>
      </c>
      <c r="F172" s="438">
        <v>0.60170100000000004</v>
      </c>
      <c r="G172" s="439">
        <f t="shared" si="6"/>
        <v>1.6619550241731358</v>
      </c>
      <c r="H172" t="str">
        <f>VLOOKUP(C172,'11.Region'!$B$22:$E$243,4,FALSE)</f>
        <v>Europe</v>
      </c>
      <c r="I172" s="430">
        <f t="shared" si="7"/>
        <v>1.6619550241731358</v>
      </c>
    </row>
    <row r="173" spans="3:9">
      <c r="C173" s="440" t="s">
        <v>399</v>
      </c>
      <c r="D173" s="438">
        <v>1.1294900000000001</v>
      </c>
      <c r="E173" s="438">
        <f t="shared" si="8"/>
        <v>0.88535533736465122</v>
      </c>
      <c r="F173" s="438">
        <v>0.59395399999999998</v>
      </c>
      <c r="G173" s="439">
        <f t="shared" si="6"/>
        <v>1.6836320657828721</v>
      </c>
      <c r="H173" t="str">
        <f>VLOOKUP(C173,'11.Region'!$B$22:$E$243,4,FALSE)</f>
        <v>Europe</v>
      </c>
      <c r="I173" s="430">
        <f t="shared" si="7"/>
        <v>1.6836320657828721</v>
      </c>
    </row>
    <row r="174" spans="3:9">
      <c r="C174" s="440" t="s">
        <v>565</v>
      </c>
      <c r="D174" s="438">
        <v>1.1294900000000001</v>
      </c>
      <c r="E174" s="438">
        <f t="shared" si="8"/>
        <v>0.88535533736465122</v>
      </c>
      <c r="F174" s="438">
        <v>0.58251500000000001</v>
      </c>
      <c r="G174" s="439">
        <f t="shared" si="6"/>
        <v>1.7166939907126855</v>
      </c>
      <c r="H174" t="str">
        <f>VLOOKUP(C174,'11.Region'!$B$22:$E$243,4,FALSE)</f>
        <v>Europe</v>
      </c>
      <c r="I174" s="430">
        <f t="shared" si="7"/>
        <v>1.7166939907126855</v>
      </c>
    </row>
    <row r="175" spans="3:9">
      <c r="C175" s="440" t="s">
        <v>367</v>
      </c>
      <c r="D175" s="438">
        <v>1.1294900000000001</v>
      </c>
      <c r="E175" s="438">
        <f t="shared" si="8"/>
        <v>0.88535533736465122</v>
      </c>
      <c r="F175" s="438">
        <v>0.55269100000000004</v>
      </c>
      <c r="G175" s="439">
        <f t="shared" si="6"/>
        <v>1.8093292635487097</v>
      </c>
      <c r="H175" t="str">
        <f>VLOOKUP(C175,'11.Region'!$B$22:$E$243,4,FALSE)</f>
        <v>Europe</v>
      </c>
      <c r="I175" s="430">
        <f t="shared" si="7"/>
        <v>1.8093292635487097</v>
      </c>
    </row>
    <row r="176" spans="3:9">
      <c r="C176" s="440" t="s">
        <v>481</v>
      </c>
      <c r="D176" s="438">
        <v>1.1294900000000001</v>
      </c>
      <c r="E176" s="438">
        <f t="shared" si="8"/>
        <v>0.88535533736465122</v>
      </c>
      <c r="F176" s="438">
        <v>0.50141909486332803</v>
      </c>
      <c r="G176" s="439">
        <f t="shared" si="6"/>
        <v>1.9943396855928879</v>
      </c>
      <c r="H176" t="str">
        <f>VLOOKUP(C176,'11.Region'!$B$22:$E$243,4,FALSE)</f>
        <v>Europe</v>
      </c>
      <c r="I176" s="430">
        <f t="shared" si="7"/>
        <v>1.9943396855928879</v>
      </c>
    </row>
    <row r="177" spans="3:9">
      <c r="C177" s="440" t="s">
        <v>345</v>
      </c>
      <c r="D177" s="438">
        <v>1.1294900000000001</v>
      </c>
      <c r="E177" s="438">
        <v>23.362030000000001</v>
      </c>
      <c r="F177" s="438">
        <v>12.897748</v>
      </c>
      <c r="G177" s="439">
        <f t="shared" si="6"/>
        <v>2.0458749282975601</v>
      </c>
      <c r="H177" t="str">
        <f>VLOOKUP(C177,'11.Region'!$B$22:$E$243,4,FALSE)</f>
        <v>Europe</v>
      </c>
      <c r="I177" s="430">
        <f t="shared" si="7"/>
        <v>2.0458749282975601</v>
      </c>
    </row>
    <row r="178" spans="3:9">
      <c r="C178" s="440" t="s">
        <v>607</v>
      </c>
      <c r="D178" s="438">
        <v>1.1294900000000001</v>
      </c>
      <c r="E178" s="438">
        <f>1/1.12949</f>
        <v>0.88535533736465122</v>
      </c>
      <c r="F178" s="438">
        <v>0.48652600000000001</v>
      </c>
      <c r="G178" s="439">
        <f t="shared" si="6"/>
        <v>2.0553886123249323</v>
      </c>
      <c r="H178" t="str">
        <f>VLOOKUP(C178,'11.Region'!$B$22:$E$243,4,FALSE)</f>
        <v>Europe</v>
      </c>
      <c r="I178" s="430">
        <f t="shared" si="7"/>
        <v>2.0553886123249323</v>
      </c>
    </row>
    <row r="179" spans="3:9">
      <c r="C179" s="440" t="s">
        <v>415</v>
      </c>
      <c r="D179" s="438">
        <v>1.1294900000000001</v>
      </c>
      <c r="E179" s="438">
        <v>6.6140299999999996</v>
      </c>
      <c r="F179" s="438">
        <v>3.48553992522658</v>
      </c>
      <c r="G179" s="439">
        <f t="shared" si="6"/>
        <v>2.1432779153187802</v>
      </c>
      <c r="H179" t="str">
        <f>VLOOKUP(C179,'11.Region'!$B$22:$E$243,4,FALSE)</f>
        <v>Europe</v>
      </c>
      <c r="I179" s="430">
        <f t="shared" si="7"/>
        <v>2.1432779153187802</v>
      </c>
    </row>
    <row r="180" spans="3:9">
      <c r="C180" s="440" t="s">
        <v>477</v>
      </c>
      <c r="D180" s="438">
        <v>1.1294900000000001</v>
      </c>
      <c r="E180" s="438">
        <f>1/1.12949</f>
        <v>0.88535533736465122</v>
      </c>
      <c r="F180" s="438">
        <v>0.46124147161082901</v>
      </c>
      <c r="G180" s="439">
        <f t="shared" si="6"/>
        <v>2.1680617670991795</v>
      </c>
      <c r="H180" t="str">
        <f>VLOOKUP(C180,'11.Region'!$B$22:$E$243,4,FALSE)</f>
        <v>Europe</v>
      </c>
      <c r="I180" s="430">
        <f t="shared" si="7"/>
        <v>2.1680617670991795</v>
      </c>
    </row>
    <row r="181" spans="3:9">
      <c r="C181" s="440" t="s">
        <v>419</v>
      </c>
      <c r="D181" s="438">
        <v>1.1294900000000001</v>
      </c>
      <c r="E181" s="438">
        <v>274.10039</v>
      </c>
      <c r="F181" s="438">
        <v>137.57606200000001</v>
      </c>
      <c r="G181" s="439">
        <f t="shared" si="6"/>
        <v>2.2503453362482495</v>
      </c>
      <c r="H181" t="str">
        <f>VLOOKUP(C181,'11.Region'!$B$22:$E$243,4,FALSE)</f>
        <v>Europe</v>
      </c>
      <c r="I181" s="430">
        <f t="shared" si="7"/>
        <v>2.2503453362482495</v>
      </c>
    </row>
    <row r="182" spans="3:9">
      <c r="C182" s="440" t="s">
        <v>577</v>
      </c>
      <c r="D182" s="438">
        <v>1.1294900000000001</v>
      </c>
      <c r="E182" s="438">
        <v>58.292389999999997</v>
      </c>
      <c r="F182" s="438">
        <v>24.547936</v>
      </c>
      <c r="G182" s="439">
        <f t="shared" si="6"/>
        <v>2.6821265780186163</v>
      </c>
      <c r="H182" t="str">
        <f>VLOOKUP(C182,'11.Region'!$B$22:$E$243,4,FALSE)</f>
        <v>Europe</v>
      </c>
      <c r="I182" s="430">
        <f t="shared" si="7"/>
        <v>2.6821265780186163</v>
      </c>
    </row>
    <row r="183" spans="3:9">
      <c r="C183" s="440" t="s">
        <v>575</v>
      </c>
      <c r="D183" s="438">
        <v>1.1294900000000001</v>
      </c>
      <c r="E183" s="438">
        <v>4.04725</v>
      </c>
      <c r="F183" s="438">
        <v>1.69586564059295</v>
      </c>
      <c r="G183" s="439">
        <f t="shared" si="6"/>
        <v>2.6955722747597277</v>
      </c>
      <c r="H183" t="str">
        <f>VLOOKUP(C183,'11.Region'!$B$22:$E$243,4,FALSE)</f>
        <v>Europe</v>
      </c>
      <c r="I183" s="430">
        <f t="shared" si="7"/>
        <v>2.6955722747597277</v>
      </c>
    </row>
    <row r="184" spans="3:9">
      <c r="C184" s="440" t="s">
        <v>509</v>
      </c>
      <c r="D184" s="438">
        <v>1.1294900000000001</v>
      </c>
      <c r="E184" s="438">
        <f>1/1.12949</f>
        <v>0.88535533736465122</v>
      </c>
      <c r="F184" s="438">
        <v>0.362693298031742</v>
      </c>
      <c r="G184" s="439">
        <f t="shared" si="6"/>
        <v>2.7571504779018072</v>
      </c>
      <c r="H184" t="str">
        <f>VLOOKUP(C184,'11.Region'!$B$22:$E$243,4,FALSE)</f>
        <v>Europe</v>
      </c>
      <c r="I184" s="430">
        <f t="shared" si="7"/>
        <v>2.7571504779018072</v>
      </c>
    </row>
    <row r="185" spans="3:9">
      <c r="C185" s="440" t="s">
        <v>491</v>
      </c>
      <c r="D185" s="438">
        <v>1.1294900000000001</v>
      </c>
      <c r="E185" s="438">
        <v>18.212900000000001</v>
      </c>
      <c r="F185" s="438">
        <v>7.4344814806391604</v>
      </c>
      <c r="G185" s="439">
        <f t="shared" si="6"/>
        <v>2.7670105137219925</v>
      </c>
      <c r="H185" t="str">
        <f>VLOOKUP(C185,'11.Region'!$B$22:$E$243,4,FALSE)</f>
        <v>Europe</v>
      </c>
      <c r="I185" s="430">
        <f t="shared" si="7"/>
        <v>2.7670105137219925</v>
      </c>
    </row>
    <row r="186" spans="3:9">
      <c r="C186" s="440" t="s">
        <v>291</v>
      </c>
      <c r="D186" s="438">
        <v>1.1294900000000001</v>
      </c>
      <c r="E186" s="438">
        <v>1.73217</v>
      </c>
      <c r="F186" s="438">
        <v>0.69823686009804897</v>
      </c>
      <c r="G186" s="439">
        <f t="shared" si="6"/>
        <v>2.8020129057999972</v>
      </c>
      <c r="H186" t="str">
        <f>VLOOKUP(C186,'11.Region'!$B$22:$E$243,4,FALSE)</f>
        <v>Europe</v>
      </c>
      <c r="I186" s="430">
        <f t="shared" si="7"/>
        <v>2.8020129057999972</v>
      </c>
    </row>
    <row r="187" spans="3:9">
      <c r="C187" s="440" t="s">
        <v>285</v>
      </c>
      <c r="D187" s="438">
        <v>1.1294900000000001</v>
      </c>
      <c r="E187" s="438">
        <v>1.72845</v>
      </c>
      <c r="F187" s="438">
        <v>0.68565121252236705</v>
      </c>
      <c r="G187" s="439">
        <f t="shared" si="6"/>
        <v>2.8473179290648658</v>
      </c>
      <c r="H187" t="str">
        <f>VLOOKUP(C187,'11.Region'!$B$22:$E$243,4,FALSE)</f>
        <v>Europe</v>
      </c>
      <c r="I187" s="430">
        <f t="shared" si="7"/>
        <v>2.8473179290648658</v>
      </c>
    </row>
    <row r="188" spans="3:9">
      <c r="C188" s="440" t="s">
        <v>599</v>
      </c>
      <c r="D188" s="438">
        <v>1.1294900000000001</v>
      </c>
      <c r="E188" s="438">
        <v>107.40031999999999</v>
      </c>
      <c r="F188" s="438">
        <v>42.132570081901598</v>
      </c>
      <c r="G188" s="439">
        <f t="shared" si="6"/>
        <v>2.879187934678324</v>
      </c>
      <c r="H188" t="str">
        <f>VLOOKUP(C188,'11.Region'!$B$22:$E$243,4,FALSE)</f>
        <v>Europe</v>
      </c>
      <c r="I188" s="430">
        <f t="shared" si="7"/>
        <v>2.879187934678324</v>
      </c>
    </row>
    <row r="189" spans="3:9">
      <c r="C189" s="440" t="s">
        <v>253</v>
      </c>
      <c r="D189" s="438">
        <v>1.1294900000000001</v>
      </c>
      <c r="E189" s="438">
        <v>117.69137000000001</v>
      </c>
      <c r="F189" s="438">
        <v>44.960649394102497</v>
      </c>
      <c r="G189" s="439">
        <f t="shared" si="6"/>
        <v>2.9566126666919685</v>
      </c>
      <c r="H189" t="str">
        <f>VLOOKUP(C189,'11.Region'!$B$22:$E$243,4,FALSE)</f>
        <v>Europe</v>
      </c>
      <c r="I189" s="430">
        <f t="shared" si="7"/>
        <v>2.9566126666919685</v>
      </c>
    </row>
    <row r="190" spans="3:9">
      <c r="C190" s="440" t="s">
        <v>501</v>
      </c>
      <c r="D190" s="438">
        <v>1.1294900000000001</v>
      </c>
      <c r="E190" s="438">
        <v>54.245579999999997</v>
      </c>
      <c r="F190" s="438">
        <v>19.533615455381799</v>
      </c>
      <c r="G190" s="439">
        <f t="shared" si="6"/>
        <v>3.1366359337907035</v>
      </c>
      <c r="H190" t="str">
        <f>VLOOKUP(C190,'11.Region'!$B$22:$E$243,4,FALSE)</f>
        <v>Europe</v>
      </c>
      <c r="I190" s="430">
        <f t="shared" si="7"/>
        <v>3.1366359337907035</v>
      </c>
    </row>
    <row r="191" spans="3:9">
      <c r="C191" s="440" t="s">
        <v>671</v>
      </c>
      <c r="D191" s="438">
        <v>1.1294900000000001</v>
      </c>
      <c r="E191" s="438">
        <v>1</v>
      </c>
      <c r="F191" s="438">
        <v>0.32131110295593601</v>
      </c>
      <c r="G191" s="439">
        <f t="shared" si="6"/>
        <v>3.5152535645644845</v>
      </c>
      <c r="H191" t="str">
        <f>VLOOKUP(C191,'11.Region'!$B$22:$E$243,4,FALSE)</f>
        <v>Europe</v>
      </c>
      <c r="I191" s="430">
        <f t="shared" si="7"/>
        <v>3.5152535645644845</v>
      </c>
    </row>
    <row r="192" spans="3:9">
      <c r="C192" s="440" t="s">
        <v>649</v>
      </c>
      <c r="D192" s="438">
        <v>1.1294900000000001</v>
      </c>
      <c r="E192" s="438">
        <v>26.407409999999999</v>
      </c>
      <c r="F192" s="438">
        <v>8.1009795591918206</v>
      </c>
      <c r="G192" s="439">
        <f t="shared" si="6"/>
        <v>3.6818887522135197</v>
      </c>
      <c r="H192" t="str">
        <f>VLOOKUP(C192,'11.Region'!$B$22:$E$243,4,FALSE)</f>
        <v>Europe</v>
      </c>
      <c r="I192" s="430">
        <f t="shared" si="7"/>
        <v>3.6818887522135197</v>
      </c>
    </row>
    <row r="193" spans="3:12">
      <c r="C193" s="440" t="s">
        <v>293</v>
      </c>
      <c r="D193" s="438">
        <v>1.1294900000000001</v>
      </c>
      <c r="E193" s="438">
        <v>1.977391353</v>
      </c>
      <c r="F193" s="438">
        <v>0.58703554471002894</v>
      </c>
      <c r="G193" s="439">
        <f t="shared" si="6"/>
        <v>3.8046141829507074</v>
      </c>
      <c r="H193" t="str">
        <f>VLOOKUP(C193,'11.Region'!$B$22:$E$243,4,FALSE)</f>
        <v>Europe</v>
      </c>
      <c r="I193" s="430">
        <f t="shared" si="7"/>
        <v>3.8046141829507074</v>
      </c>
    </row>
    <row r="194" spans="3:12">
      <c r="C194" s="440" t="s">
        <v>256</v>
      </c>
      <c r="D194" s="438">
        <v>1.1294900000000001</v>
      </c>
      <c r="E194" s="438">
        <f>1/1.12949</f>
        <v>0.88535533736465122</v>
      </c>
      <c r="G194" s="439" t="e">
        <f t="shared" si="6"/>
        <v>#DIV/0!</v>
      </c>
      <c r="H194" t="str">
        <f>VLOOKUP(C194,'11.Region'!$B$22:$E$243,4,FALSE)</f>
        <v>Europe</v>
      </c>
      <c r="I194" s="430">
        <f t="shared" ref="I194:I199" si="9">$K$153</f>
        <v>1.9328616451977572</v>
      </c>
      <c r="J194" t="s">
        <v>244</v>
      </c>
    </row>
    <row r="195" spans="3:12">
      <c r="C195" s="440" t="s">
        <v>377</v>
      </c>
      <c r="D195" s="438">
        <v>1.1294900000000001</v>
      </c>
      <c r="G195" s="439" t="e">
        <f t="shared" ref="G195:G258" si="10">D195*E195/F195</f>
        <v>#DIV/0!</v>
      </c>
      <c r="H195" t="str">
        <f>VLOOKUP(C195,'11.Region'!$B$22:$E$243,4,FALSE)</f>
        <v>Europe</v>
      </c>
      <c r="I195" s="430">
        <f t="shared" si="9"/>
        <v>1.9328616451977572</v>
      </c>
      <c r="J195" t="s">
        <v>244</v>
      </c>
    </row>
    <row r="196" spans="3:12">
      <c r="C196" s="440" t="s">
        <v>389</v>
      </c>
      <c r="D196" s="438">
        <v>1.1294900000000001</v>
      </c>
      <c r="G196" s="439" t="e">
        <f t="shared" si="10"/>
        <v>#DIV/0!</v>
      </c>
      <c r="H196" t="str">
        <f>VLOOKUP(C196,'11.Region'!$B$22:$E$243,4,FALSE)</f>
        <v>Europe</v>
      </c>
      <c r="I196" s="430">
        <f t="shared" si="9"/>
        <v>1.9328616451977572</v>
      </c>
      <c r="J196" t="s">
        <v>244</v>
      </c>
    </row>
    <row r="197" spans="3:12">
      <c r="C197" s="440" t="s">
        <v>423</v>
      </c>
      <c r="D197" s="438">
        <v>1.1294900000000001</v>
      </c>
      <c r="G197" s="439" t="e">
        <f t="shared" si="10"/>
        <v>#DIV/0!</v>
      </c>
      <c r="H197" t="str">
        <f>VLOOKUP(C197,'11.Region'!$B$22:$E$243,4,FALSE)</f>
        <v>Europe</v>
      </c>
      <c r="I197" s="430">
        <f t="shared" si="9"/>
        <v>1.9328616451977572</v>
      </c>
      <c r="J197" t="s">
        <v>244</v>
      </c>
    </row>
    <row r="198" spans="3:12">
      <c r="C198" s="440" t="s">
        <v>471</v>
      </c>
      <c r="D198" s="438">
        <v>1.1294900000000001</v>
      </c>
      <c r="G198" s="439" t="e">
        <f t="shared" si="10"/>
        <v>#DIV/0!</v>
      </c>
      <c r="H198" t="str">
        <f>VLOOKUP(C198,'11.Region'!$B$22:$E$243,4,FALSE)</f>
        <v>Europe</v>
      </c>
      <c r="I198" s="430">
        <f t="shared" si="9"/>
        <v>1.9328616451977572</v>
      </c>
      <c r="J198" t="s">
        <v>244</v>
      </c>
    </row>
    <row r="199" spans="3:12">
      <c r="C199" s="440" t="s">
        <v>489</v>
      </c>
      <c r="D199" s="438">
        <v>1.1294900000000001</v>
      </c>
      <c r="E199" s="438">
        <f>1/1.12949</f>
        <v>0.88535533736465122</v>
      </c>
      <c r="G199" s="439" t="e">
        <f t="shared" si="10"/>
        <v>#DIV/0!</v>
      </c>
      <c r="H199" t="str">
        <f>VLOOKUP(C199,'11.Region'!$B$22:$E$243,4,FALSE)</f>
        <v>Europe</v>
      </c>
      <c r="I199" s="430">
        <f t="shared" si="9"/>
        <v>1.9328616451977572</v>
      </c>
      <c r="J199" t="s">
        <v>244</v>
      </c>
    </row>
    <row r="200" spans="3:12">
      <c r="C200" s="440" t="s">
        <v>669</v>
      </c>
      <c r="D200" s="438">
        <v>1.1294900000000001</v>
      </c>
      <c r="E200" s="438">
        <v>1</v>
      </c>
      <c r="F200" s="438">
        <v>1.6425069820888001</v>
      </c>
      <c r="G200" s="439">
        <f t="shared" si="10"/>
        <v>0.68766222141936417</v>
      </c>
      <c r="H200" t="str">
        <f>VLOOKUP(C200,'11.Region'!$B$22:$E$243,4,FALSE)</f>
        <v>Oceania</v>
      </c>
      <c r="I200" s="430">
        <f>G200</f>
        <v>0.68766222141936417</v>
      </c>
      <c r="K200" s="429">
        <f>AVERAGE(G200:G213)</f>
        <v>1.3563308370936336</v>
      </c>
      <c r="L200" s="427" t="s">
        <v>265</v>
      </c>
    </row>
    <row r="201" spans="3:12">
      <c r="C201" s="440" t="s">
        <v>269</v>
      </c>
      <c r="D201" s="438">
        <v>1.1294900000000001</v>
      </c>
      <c r="E201" s="438">
        <v>1.30488</v>
      </c>
      <c r="F201" s="438">
        <v>1.5162249999999999</v>
      </c>
      <c r="G201" s="439">
        <f t="shared" si="10"/>
        <v>0.97205158284555404</v>
      </c>
      <c r="H201" t="str">
        <f>VLOOKUP(C201,'11.Region'!$B$22:$E$243,4,FALSE)</f>
        <v>Oceania</v>
      </c>
      <c r="I201" s="430">
        <f t="shared" ref="I201:I213" si="11">G201</f>
        <v>0.97205158284555404</v>
      </c>
    </row>
    <row r="202" spans="3:12">
      <c r="C202" s="440" t="s">
        <v>543</v>
      </c>
      <c r="D202" s="438">
        <v>1.1294900000000001</v>
      </c>
      <c r="E202" s="438">
        <v>1.40717</v>
      </c>
      <c r="F202" s="438">
        <v>1.477015</v>
      </c>
      <c r="G202" s="439">
        <f t="shared" si="10"/>
        <v>1.0760787421251647</v>
      </c>
      <c r="H202" t="str">
        <f>VLOOKUP(C202,'11.Region'!$B$22:$E$243,4,FALSE)</f>
        <v>Oceania</v>
      </c>
      <c r="I202" s="430">
        <f t="shared" si="11"/>
        <v>1.0760787421251647</v>
      </c>
    </row>
    <row r="203" spans="3:12">
      <c r="C203" s="440" t="s">
        <v>667</v>
      </c>
      <c r="D203" s="438">
        <v>1.1294900000000001</v>
      </c>
      <c r="E203" s="435">
        <v>106.12934</v>
      </c>
      <c r="F203" s="438">
        <v>103.3875398947</v>
      </c>
      <c r="G203" s="439">
        <f t="shared" si="10"/>
        <v>1.1594436656360083</v>
      </c>
      <c r="H203" t="str">
        <f>VLOOKUP(C203,'11.Region'!$B$22:$E$243,4,FALSE)</f>
        <v>Oceania</v>
      </c>
      <c r="I203" s="430">
        <f t="shared" si="11"/>
        <v>1.1594436656360083</v>
      </c>
    </row>
    <row r="204" spans="3:12">
      <c r="C204" s="440" t="s">
        <v>555</v>
      </c>
      <c r="D204" s="438">
        <v>1.1294900000000001</v>
      </c>
      <c r="E204" s="438">
        <v>1</v>
      </c>
      <c r="F204" s="438">
        <v>0.92303608227507905</v>
      </c>
      <c r="G204" s="439">
        <f t="shared" si="10"/>
        <v>1.2236683068944152</v>
      </c>
      <c r="H204" t="str">
        <f>VLOOKUP(C204,'11.Region'!$B$22:$E$243,4,FALSE)</f>
        <v>Oceania</v>
      </c>
      <c r="I204" s="430">
        <f t="shared" si="11"/>
        <v>1.2236683068944152</v>
      </c>
    </row>
    <row r="205" spans="3:12">
      <c r="C205" s="440" t="s">
        <v>589</v>
      </c>
      <c r="D205" s="438">
        <v>1.1294900000000001</v>
      </c>
      <c r="E205" s="438">
        <v>7.6467200000000002</v>
      </c>
      <c r="F205" s="438">
        <v>6.9439924666351001</v>
      </c>
      <c r="G205" s="439">
        <f t="shared" si="10"/>
        <v>1.2437936553501536</v>
      </c>
      <c r="H205" t="str">
        <f>VLOOKUP(C205,'11.Region'!$B$22:$E$243,4,FALSE)</f>
        <v>Oceania</v>
      </c>
      <c r="I205" s="430">
        <f t="shared" si="11"/>
        <v>1.2437936553501536</v>
      </c>
    </row>
    <row r="206" spans="3:12">
      <c r="C206" s="440" t="s">
        <v>643</v>
      </c>
      <c r="D206" s="438">
        <v>1.1294900000000001</v>
      </c>
      <c r="E206" s="438">
        <v>1.30488</v>
      </c>
      <c r="F206" s="438">
        <v>1.1716538637777101</v>
      </c>
      <c r="G206" s="439">
        <f t="shared" si="10"/>
        <v>1.2579217777236158</v>
      </c>
      <c r="H206" t="str">
        <f>VLOOKUP(C206,'11.Region'!$B$22:$E$243,4,FALSE)</f>
        <v>Oceania</v>
      </c>
      <c r="I206" s="430">
        <f t="shared" si="11"/>
        <v>1.2579217777236158</v>
      </c>
    </row>
    <row r="207" spans="3:12">
      <c r="C207" s="440" t="s">
        <v>499</v>
      </c>
      <c r="D207" s="438">
        <v>1.1294900000000001</v>
      </c>
      <c r="E207" s="438">
        <v>1</v>
      </c>
      <c r="F207" s="438">
        <v>0.89513946628815699</v>
      </c>
      <c r="G207" s="439">
        <f t="shared" si="10"/>
        <v>1.2618033753819571</v>
      </c>
      <c r="H207" t="str">
        <f>VLOOKUP(C207,'11.Region'!$B$22:$E$243,4,FALSE)</f>
        <v>Oceania</v>
      </c>
      <c r="I207" s="430">
        <f t="shared" si="11"/>
        <v>1.2618033753819571</v>
      </c>
    </row>
    <row r="208" spans="3:12">
      <c r="C208" s="440" t="s">
        <v>379</v>
      </c>
      <c r="D208" s="438">
        <v>1.1294900000000001</v>
      </c>
      <c r="E208" s="438">
        <v>1</v>
      </c>
      <c r="F208" s="438">
        <v>0.87997378175783803</v>
      </c>
      <c r="G208" s="439">
        <f t="shared" si="10"/>
        <v>1.2835496050163311</v>
      </c>
      <c r="H208" t="str">
        <f>VLOOKUP(C208,'11.Region'!$B$22:$E$243,4,FALSE)</f>
        <v>Oceania</v>
      </c>
      <c r="I208" s="430">
        <f t="shared" si="11"/>
        <v>1.2835496050163311</v>
      </c>
    </row>
    <row r="209" spans="3:10">
      <c r="C209" s="440" t="s">
        <v>453</v>
      </c>
      <c r="D209" s="438">
        <v>1.1294900000000001</v>
      </c>
      <c r="E209" s="438">
        <v>1.30488</v>
      </c>
      <c r="F209" s="438">
        <v>1.0109475419466101</v>
      </c>
      <c r="G209" s="439">
        <f t="shared" si="10"/>
        <v>1.4578886144399337</v>
      </c>
      <c r="H209" t="str">
        <f>VLOOKUP(C209,'11.Region'!$B$22:$E$243,4,FALSE)</f>
        <v>Oceania</v>
      </c>
      <c r="I209" s="430">
        <f t="shared" si="11"/>
        <v>1.4578886144399337</v>
      </c>
    </row>
    <row r="210" spans="3:10">
      <c r="C210" s="440" t="s">
        <v>635</v>
      </c>
      <c r="D210" s="438">
        <v>1.1294900000000001</v>
      </c>
      <c r="E210" s="438">
        <v>2.26634</v>
      </c>
      <c r="F210" s="438">
        <v>1.4637274466746699</v>
      </c>
      <c r="G210" s="439">
        <f t="shared" si="10"/>
        <v>1.7488285625957432</v>
      </c>
      <c r="H210" t="str">
        <f>VLOOKUP(C210,'11.Region'!$B$22:$E$243,4,FALSE)</f>
        <v>Oceania</v>
      </c>
      <c r="I210" s="430">
        <f t="shared" si="11"/>
        <v>1.7488285625957432</v>
      </c>
    </row>
    <row r="211" spans="3:10">
      <c r="C211" s="440" t="s">
        <v>557</v>
      </c>
      <c r="D211" s="438">
        <v>1.1294900000000001</v>
      </c>
      <c r="E211" s="438">
        <v>3.12514</v>
      </c>
      <c r="F211" s="438">
        <v>1.9417440991797701</v>
      </c>
      <c r="G211" s="439">
        <f t="shared" si="10"/>
        <v>1.8178576569853162</v>
      </c>
      <c r="H211" t="str">
        <f>VLOOKUP(C211,'11.Region'!$B$22:$E$243,4,FALSE)</f>
        <v>Oceania</v>
      </c>
      <c r="I211" s="430">
        <f t="shared" si="11"/>
        <v>1.8178576569853162</v>
      </c>
    </row>
    <row r="212" spans="3:10">
      <c r="C212" s="440" t="s">
        <v>541</v>
      </c>
      <c r="D212" s="438">
        <v>1.1294900000000001</v>
      </c>
      <c r="E212" s="438">
        <v>1.30488</v>
      </c>
      <c r="F212" s="438">
        <v>0.78142720066812399</v>
      </c>
      <c r="G212" s="439">
        <f t="shared" si="10"/>
        <v>1.8860988073359262</v>
      </c>
      <c r="H212" t="str">
        <f>VLOOKUP(C212,'11.Region'!$B$22:$E$243,4,FALSE)</f>
        <v>Oceania</v>
      </c>
      <c r="I212" s="430">
        <f t="shared" si="11"/>
        <v>1.8860988073359262</v>
      </c>
    </row>
    <row r="213" spans="3:10">
      <c r="C213" s="440" t="s">
        <v>373</v>
      </c>
      <c r="D213" s="438">
        <v>1.1294900000000001</v>
      </c>
      <c r="E213" s="438">
        <v>2.0467900000000001</v>
      </c>
      <c r="F213" s="438">
        <v>1.20912489433657</v>
      </c>
      <c r="G213" s="439">
        <f t="shared" si="10"/>
        <v>1.9119851455613843</v>
      </c>
      <c r="H213" t="str">
        <f>VLOOKUP(C213,'11.Region'!$B$22:$E$243,4,FALSE)</f>
        <v>Oceania</v>
      </c>
      <c r="I213" s="430">
        <f t="shared" si="11"/>
        <v>1.9119851455613843</v>
      </c>
    </row>
    <row r="214" spans="3:10">
      <c r="C214" s="440" t="s">
        <v>264</v>
      </c>
      <c r="D214" s="438">
        <v>1.1294900000000001</v>
      </c>
      <c r="E214" s="438">
        <v>1</v>
      </c>
      <c r="G214" s="439" t="e">
        <f t="shared" si="10"/>
        <v>#DIV/0!</v>
      </c>
      <c r="H214" t="str">
        <f>VLOOKUP(C214,'11.Region'!$B$22:$E$243,4,FALSE)</f>
        <v>Oceania</v>
      </c>
      <c r="I214" s="430">
        <f>$K$200</f>
        <v>1.3563308370936336</v>
      </c>
      <c r="J214" t="s">
        <v>244</v>
      </c>
    </row>
    <row r="215" spans="3:10">
      <c r="C215" s="440" t="s">
        <v>407</v>
      </c>
      <c r="D215" s="438">
        <v>1.1294900000000001</v>
      </c>
      <c r="G215" s="439" t="e">
        <f t="shared" si="10"/>
        <v>#DIV/0!</v>
      </c>
      <c r="H215" t="str">
        <f>VLOOKUP(C215,'11.Region'!$B$22:$E$243,4,FALSE)</f>
        <v>Oceania</v>
      </c>
      <c r="I215" s="430">
        <f>$K$200</f>
        <v>1.3563308370936336</v>
      </c>
      <c r="J215" t="s">
        <v>244</v>
      </c>
    </row>
    <row r="216" spans="3:10">
      <c r="C216" s="440" t="s">
        <v>513</v>
      </c>
      <c r="D216" s="438">
        <v>1.1294900000000001</v>
      </c>
      <c r="G216" s="439" t="e">
        <f t="shared" si="10"/>
        <v>#DIV/0!</v>
      </c>
      <c r="H216" t="str">
        <f>VLOOKUP(C216,'11.Region'!$B$22:$E$243,4,FALSE)</f>
        <v>Oceania</v>
      </c>
      <c r="I216" s="430">
        <f>$K$200</f>
        <v>1.3563308370936336</v>
      </c>
      <c r="J216" t="s">
        <v>244</v>
      </c>
    </row>
    <row r="217" spans="3:10">
      <c r="C217" s="440" t="s">
        <v>527</v>
      </c>
      <c r="D217" s="438">
        <v>1.1294900000000001</v>
      </c>
      <c r="G217" s="439" t="e">
        <f t="shared" si="10"/>
        <v>#DIV/0!</v>
      </c>
      <c r="H217" t="str">
        <f>VLOOKUP(C217,'11.Region'!$B$22:$E$243,4,FALSE)</f>
        <v>Oceania</v>
      </c>
      <c r="I217" s="430">
        <f>$K$200</f>
        <v>1.3563308370936336</v>
      </c>
      <c r="J217" t="s">
        <v>244</v>
      </c>
    </row>
    <row r="218" spans="3:10">
      <c r="C218" s="440" t="s">
        <v>571</v>
      </c>
      <c r="D218" s="438">
        <v>1.1294900000000001</v>
      </c>
      <c r="G218" s="439" t="e">
        <f t="shared" si="10"/>
        <v>#DIV/0!</v>
      </c>
      <c r="H218" t="str">
        <f>VLOOKUP(C218,'11.Region'!$B$22:$E$243,4,FALSE)</f>
        <v>Oceania</v>
      </c>
      <c r="I218" s="430">
        <f>$K$200</f>
        <v>1.3563308370936336</v>
      </c>
      <c r="J218" t="s">
        <v>244</v>
      </c>
    </row>
    <row r="219" spans="3:10">
      <c r="C219" s="440" t="s">
        <v>3136</v>
      </c>
      <c r="D219" s="438">
        <v>1.1294900000000001</v>
      </c>
      <c r="G219" s="439" t="e">
        <f t="shared" si="10"/>
        <v>#DIV/0!</v>
      </c>
      <c r="H219" t="e">
        <f>VLOOKUP(C219,'11.Region'!$B$22:$E$243,4,FALSE)</f>
        <v>#N/A</v>
      </c>
    </row>
    <row r="220" spans="3:10">
      <c r="C220" s="440" t="s">
        <v>3137</v>
      </c>
      <c r="D220" s="438">
        <v>1.1294900000000001</v>
      </c>
      <c r="G220" s="439" t="e">
        <f t="shared" si="10"/>
        <v>#DIV/0!</v>
      </c>
      <c r="H220" t="e">
        <f>VLOOKUP(C220,'11.Region'!$B$22:$E$243,4,FALSE)</f>
        <v>#N/A</v>
      </c>
    </row>
    <row r="221" spans="3:10">
      <c r="C221" s="440" t="s">
        <v>3138</v>
      </c>
      <c r="D221" s="438">
        <v>1.1294900000000001</v>
      </c>
      <c r="G221" s="439" t="e">
        <f t="shared" si="10"/>
        <v>#DIV/0!</v>
      </c>
      <c r="H221" t="e">
        <f>VLOOKUP(C221,'11.Region'!$B$22:$E$243,4,FALSE)</f>
        <v>#N/A</v>
      </c>
    </row>
    <row r="222" spans="3:10">
      <c r="C222" s="440" t="s">
        <v>3139</v>
      </c>
      <c r="D222" s="438">
        <v>1.1294900000000001</v>
      </c>
      <c r="G222" s="439" t="e">
        <f t="shared" si="10"/>
        <v>#DIV/0!</v>
      </c>
      <c r="H222" t="e">
        <f>VLOOKUP(C222,'11.Region'!$B$22:$E$243,4,FALSE)</f>
        <v>#N/A</v>
      </c>
    </row>
    <row r="223" spans="3:10">
      <c r="C223" s="440" t="s">
        <v>3140</v>
      </c>
      <c r="D223" s="438">
        <v>1.1294900000000001</v>
      </c>
      <c r="G223" s="439" t="e">
        <f t="shared" si="10"/>
        <v>#DIV/0!</v>
      </c>
      <c r="H223" t="e">
        <f>VLOOKUP(C223,'11.Region'!$B$22:$E$243,4,FALSE)</f>
        <v>#N/A</v>
      </c>
    </row>
    <row r="224" spans="3:10">
      <c r="C224" s="440" t="s">
        <v>3141</v>
      </c>
      <c r="D224" s="438">
        <v>1.1294900000000001</v>
      </c>
      <c r="G224" s="439" t="e">
        <f t="shared" si="10"/>
        <v>#DIV/0!</v>
      </c>
      <c r="H224" t="e">
        <f>VLOOKUP(C224,'11.Region'!$B$22:$E$243,4,FALSE)</f>
        <v>#N/A</v>
      </c>
    </row>
    <row r="225" spans="3:8">
      <c r="C225" s="440" t="s">
        <v>3142</v>
      </c>
      <c r="D225" s="438">
        <v>1.1294900000000001</v>
      </c>
      <c r="G225" s="439" t="e">
        <f t="shared" si="10"/>
        <v>#DIV/0!</v>
      </c>
      <c r="H225" t="e">
        <f>VLOOKUP(C225,'11.Region'!$B$22:$E$243,4,FALSE)</f>
        <v>#N/A</v>
      </c>
    </row>
    <row r="226" spans="3:8">
      <c r="C226" s="440" t="s">
        <v>3143</v>
      </c>
      <c r="D226" s="438">
        <v>1.1294900000000001</v>
      </c>
      <c r="G226" s="439" t="e">
        <f t="shared" si="10"/>
        <v>#DIV/0!</v>
      </c>
      <c r="H226" t="e">
        <f>VLOOKUP(C226,'11.Region'!$B$22:$E$243,4,FALSE)</f>
        <v>#N/A</v>
      </c>
    </row>
    <row r="227" spans="3:8">
      <c r="C227" s="440" t="s">
        <v>3144</v>
      </c>
      <c r="D227" s="438">
        <v>1.1294900000000001</v>
      </c>
      <c r="G227" s="439" t="e">
        <f t="shared" si="10"/>
        <v>#DIV/0!</v>
      </c>
      <c r="H227" t="e">
        <f>VLOOKUP(C227,'11.Region'!$B$22:$E$243,4,FALSE)</f>
        <v>#N/A</v>
      </c>
    </row>
    <row r="228" spans="3:8">
      <c r="C228" s="440" t="s">
        <v>3145</v>
      </c>
      <c r="D228" s="438">
        <v>1.1294900000000001</v>
      </c>
      <c r="G228" s="439" t="e">
        <f t="shared" si="10"/>
        <v>#DIV/0!</v>
      </c>
      <c r="H228" t="e">
        <f>VLOOKUP(C228,'11.Region'!$B$22:$E$243,4,FALSE)</f>
        <v>#N/A</v>
      </c>
    </row>
    <row r="229" spans="3:8">
      <c r="C229" s="440" t="s">
        <v>3146</v>
      </c>
      <c r="D229" s="438">
        <v>1.1294900000000001</v>
      </c>
      <c r="G229" s="439" t="e">
        <f t="shared" si="10"/>
        <v>#DIV/0!</v>
      </c>
      <c r="H229" t="e">
        <f>VLOOKUP(C229,'11.Region'!$B$22:$E$243,4,FALSE)</f>
        <v>#N/A</v>
      </c>
    </row>
    <row r="230" spans="3:8">
      <c r="C230" s="440" t="s">
        <v>3147</v>
      </c>
      <c r="D230" s="438">
        <v>1.1294900000000001</v>
      </c>
      <c r="G230" s="439" t="e">
        <f t="shared" si="10"/>
        <v>#DIV/0!</v>
      </c>
      <c r="H230" t="e">
        <f>VLOOKUP(C230,'11.Region'!$B$22:$E$243,4,FALSE)</f>
        <v>#N/A</v>
      </c>
    </row>
    <row r="231" spans="3:8">
      <c r="C231" s="440" t="s">
        <v>3148</v>
      </c>
      <c r="D231" s="438">
        <v>1.1294900000000001</v>
      </c>
      <c r="G231" s="439" t="e">
        <f t="shared" si="10"/>
        <v>#DIV/0!</v>
      </c>
      <c r="H231" t="e">
        <f>VLOOKUP(C231,'11.Region'!$B$22:$E$243,4,FALSE)</f>
        <v>#N/A</v>
      </c>
    </row>
    <row r="232" spans="3:8">
      <c r="C232" s="440" t="s">
        <v>3149</v>
      </c>
      <c r="D232" s="438">
        <v>1.1294900000000001</v>
      </c>
      <c r="G232" s="439" t="e">
        <f t="shared" si="10"/>
        <v>#DIV/0!</v>
      </c>
      <c r="H232" t="e">
        <f>VLOOKUP(C232,'11.Region'!$B$22:$E$243,4,FALSE)</f>
        <v>#N/A</v>
      </c>
    </row>
    <row r="233" spans="3:8">
      <c r="C233" s="440" t="s">
        <v>3150</v>
      </c>
      <c r="D233" s="438">
        <v>1.1294900000000001</v>
      </c>
      <c r="G233" s="439" t="e">
        <f t="shared" si="10"/>
        <v>#DIV/0!</v>
      </c>
      <c r="H233" t="e">
        <f>VLOOKUP(C233,'11.Region'!$B$22:$E$243,4,FALSE)</f>
        <v>#N/A</v>
      </c>
    </row>
    <row r="234" spans="3:8">
      <c r="C234" s="440" t="s">
        <v>3151</v>
      </c>
      <c r="D234" s="438">
        <v>1.1294900000000001</v>
      </c>
      <c r="G234" s="439" t="e">
        <f t="shared" si="10"/>
        <v>#DIV/0!</v>
      </c>
      <c r="H234" t="e">
        <f>VLOOKUP(C234,'11.Region'!$B$22:$E$243,4,FALSE)</f>
        <v>#N/A</v>
      </c>
    </row>
    <row r="235" spans="3:8">
      <c r="C235" s="440" t="s">
        <v>3152</v>
      </c>
      <c r="D235" s="438">
        <v>1.1294900000000001</v>
      </c>
      <c r="G235" s="439" t="e">
        <f t="shared" si="10"/>
        <v>#DIV/0!</v>
      </c>
      <c r="H235" t="e">
        <f>VLOOKUP(C235,'11.Region'!$B$22:$E$243,4,FALSE)</f>
        <v>#N/A</v>
      </c>
    </row>
    <row r="236" spans="3:8">
      <c r="C236" s="440" t="s">
        <v>3153</v>
      </c>
      <c r="D236" s="438">
        <v>1.1294900000000001</v>
      </c>
      <c r="G236" s="439" t="e">
        <f t="shared" si="10"/>
        <v>#DIV/0!</v>
      </c>
      <c r="H236" t="e">
        <f>VLOOKUP(C236,'11.Region'!$B$22:$E$243,4,FALSE)</f>
        <v>#N/A</v>
      </c>
    </row>
    <row r="237" spans="3:8">
      <c r="C237" s="440" t="s">
        <v>3154</v>
      </c>
      <c r="D237" s="438">
        <v>1.1294900000000001</v>
      </c>
      <c r="G237" s="439" t="e">
        <f t="shared" si="10"/>
        <v>#DIV/0!</v>
      </c>
      <c r="H237" t="e">
        <f>VLOOKUP(C237,'11.Region'!$B$22:$E$243,4,FALSE)</f>
        <v>#N/A</v>
      </c>
    </row>
    <row r="238" spans="3:8">
      <c r="C238" s="440" t="s">
        <v>3155</v>
      </c>
      <c r="D238" s="438">
        <v>1.1294900000000001</v>
      </c>
      <c r="G238" s="439" t="e">
        <f t="shared" si="10"/>
        <v>#DIV/0!</v>
      </c>
      <c r="H238" t="e">
        <f>VLOOKUP(C238,'11.Region'!$B$22:$E$243,4,FALSE)</f>
        <v>#N/A</v>
      </c>
    </row>
    <row r="239" spans="3:8">
      <c r="C239" s="440" t="s">
        <v>3156</v>
      </c>
      <c r="D239" s="438">
        <v>1.1294900000000001</v>
      </c>
      <c r="G239" s="439" t="e">
        <f t="shared" si="10"/>
        <v>#DIV/0!</v>
      </c>
      <c r="H239" t="e">
        <f>VLOOKUP(C239,'11.Region'!$B$22:$E$243,4,FALSE)</f>
        <v>#N/A</v>
      </c>
    </row>
    <row r="240" spans="3:8">
      <c r="C240" s="440" t="s">
        <v>3157</v>
      </c>
      <c r="D240" s="438">
        <v>1.1294900000000001</v>
      </c>
      <c r="G240" s="439" t="e">
        <f t="shared" si="10"/>
        <v>#DIV/0!</v>
      </c>
      <c r="H240" t="e">
        <f>VLOOKUP(C240,'11.Region'!$B$22:$E$243,4,FALSE)</f>
        <v>#N/A</v>
      </c>
    </row>
    <row r="241" spans="3:8">
      <c r="C241" s="440" t="s">
        <v>3158</v>
      </c>
      <c r="D241" s="438">
        <v>1.1294900000000001</v>
      </c>
      <c r="G241" s="439" t="e">
        <f t="shared" si="10"/>
        <v>#DIV/0!</v>
      </c>
      <c r="H241" t="e">
        <f>VLOOKUP(C241,'11.Region'!$B$22:$E$243,4,FALSE)</f>
        <v>#N/A</v>
      </c>
    </row>
    <row r="242" spans="3:8">
      <c r="C242" s="440" t="s">
        <v>3159</v>
      </c>
      <c r="D242" s="438">
        <v>1.1294900000000001</v>
      </c>
      <c r="G242" s="439" t="e">
        <f t="shared" si="10"/>
        <v>#DIV/0!</v>
      </c>
      <c r="H242" t="e">
        <f>VLOOKUP(C242,'11.Region'!$B$22:$E$243,4,FALSE)</f>
        <v>#N/A</v>
      </c>
    </row>
    <row r="243" spans="3:8">
      <c r="C243" s="440" t="s">
        <v>3160</v>
      </c>
      <c r="D243" s="438">
        <v>1.1294900000000001</v>
      </c>
      <c r="G243" s="439" t="e">
        <f t="shared" si="10"/>
        <v>#DIV/0!</v>
      </c>
      <c r="H243" t="e">
        <f>VLOOKUP(C243,'11.Region'!$B$22:$E$243,4,FALSE)</f>
        <v>#N/A</v>
      </c>
    </row>
    <row r="244" spans="3:8">
      <c r="C244" s="440" t="s">
        <v>3161</v>
      </c>
      <c r="D244" s="438">
        <v>1.1294900000000001</v>
      </c>
      <c r="G244" s="439" t="e">
        <f t="shared" si="10"/>
        <v>#DIV/0!</v>
      </c>
      <c r="H244" t="e">
        <f>VLOOKUP(C244,'11.Region'!$B$22:$E$243,4,FALSE)</f>
        <v>#N/A</v>
      </c>
    </row>
    <row r="245" spans="3:8">
      <c r="C245" s="440" t="s">
        <v>3162</v>
      </c>
      <c r="D245" s="438">
        <v>1.1294900000000001</v>
      </c>
      <c r="G245" s="439" t="e">
        <f t="shared" si="10"/>
        <v>#DIV/0!</v>
      </c>
      <c r="H245" t="e">
        <f>VLOOKUP(C245,'11.Region'!$B$22:$E$243,4,FALSE)</f>
        <v>#N/A</v>
      </c>
    </row>
    <row r="246" spans="3:8">
      <c r="C246" s="440" t="s">
        <v>3163</v>
      </c>
      <c r="D246" s="438">
        <v>1.1294900000000001</v>
      </c>
      <c r="G246" s="439" t="e">
        <f t="shared" si="10"/>
        <v>#DIV/0!</v>
      </c>
      <c r="H246" t="e">
        <f>VLOOKUP(C246,'11.Region'!$B$22:$E$243,4,FALSE)</f>
        <v>#N/A</v>
      </c>
    </row>
    <row r="247" spans="3:8">
      <c r="C247" s="440" t="s">
        <v>3164</v>
      </c>
      <c r="D247" s="438">
        <v>1.1294900000000001</v>
      </c>
      <c r="G247" s="439" t="e">
        <f t="shared" si="10"/>
        <v>#DIV/0!</v>
      </c>
      <c r="H247" t="e">
        <f>VLOOKUP(C247,'11.Region'!$B$22:$E$243,4,FALSE)</f>
        <v>#N/A</v>
      </c>
    </row>
    <row r="248" spans="3:8">
      <c r="C248" s="440" t="s">
        <v>3165</v>
      </c>
      <c r="D248" s="438">
        <v>1.1294900000000001</v>
      </c>
      <c r="G248" s="439" t="e">
        <f t="shared" si="10"/>
        <v>#DIV/0!</v>
      </c>
      <c r="H248" t="e">
        <f>VLOOKUP(C248,'11.Region'!$B$22:$E$243,4,FALSE)</f>
        <v>#N/A</v>
      </c>
    </row>
    <row r="249" spans="3:8">
      <c r="C249" s="440" t="s">
        <v>3166</v>
      </c>
      <c r="D249" s="438">
        <v>1.1294900000000001</v>
      </c>
      <c r="G249" s="439" t="e">
        <f t="shared" si="10"/>
        <v>#DIV/0!</v>
      </c>
      <c r="H249" t="e">
        <f>VLOOKUP(C249,'11.Region'!$B$22:$E$243,4,FALSE)</f>
        <v>#N/A</v>
      </c>
    </row>
    <row r="250" spans="3:8">
      <c r="C250" s="440" t="s">
        <v>3167</v>
      </c>
      <c r="D250" s="438">
        <v>1.1294900000000001</v>
      </c>
      <c r="G250" s="439" t="e">
        <f t="shared" si="10"/>
        <v>#DIV/0!</v>
      </c>
      <c r="H250" t="e">
        <f>VLOOKUP(C250,'11.Region'!$B$22:$E$243,4,FALSE)</f>
        <v>#N/A</v>
      </c>
    </row>
    <row r="251" spans="3:8">
      <c r="C251" s="440" t="s">
        <v>3168</v>
      </c>
      <c r="D251" s="438">
        <v>1.1294900000000001</v>
      </c>
      <c r="G251" s="439" t="e">
        <f t="shared" si="10"/>
        <v>#DIV/0!</v>
      </c>
      <c r="H251" t="e">
        <f>VLOOKUP(C251,'11.Region'!$B$22:$E$243,4,FALSE)</f>
        <v>#N/A</v>
      </c>
    </row>
    <row r="252" spans="3:8">
      <c r="C252" s="440" t="s">
        <v>3169</v>
      </c>
      <c r="D252" s="438">
        <v>1.1294900000000001</v>
      </c>
      <c r="G252" s="439" t="e">
        <f t="shared" si="10"/>
        <v>#DIV/0!</v>
      </c>
      <c r="H252" t="e">
        <f>VLOOKUP(C252,'11.Region'!$B$22:$E$243,4,FALSE)</f>
        <v>#N/A</v>
      </c>
    </row>
    <row r="253" spans="3:8">
      <c r="C253" s="440" t="s">
        <v>3170</v>
      </c>
      <c r="D253" s="438">
        <v>1.1294900000000001</v>
      </c>
      <c r="G253" s="439" t="e">
        <f t="shared" si="10"/>
        <v>#DIV/0!</v>
      </c>
      <c r="H253" t="e">
        <f>VLOOKUP(C253,'11.Region'!$B$22:$E$243,4,FALSE)</f>
        <v>#N/A</v>
      </c>
    </row>
    <row r="254" spans="3:8">
      <c r="C254" s="440" t="s">
        <v>3171</v>
      </c>
      <c r="D254" s="438">
        <v>1.1294900000000001</v>
      </c>
      <c r="G254" s="439" t="e">
        <f t="shared" si="10"/>
        <v>#DIV/0!</v>
      </c>
      <c r="H254" t="e">
        <f>VLOOKUP(C254,'11.Region'!$B$22:$E$243,4,FALSE)</f>
        <v>#N/A</v>
      </c>
    </row>
    <row r="255" spans="3:8">
      <c r="C255" s="440" t="s">
        <v>3172</v>
      </c>
      <c r="D255" s="438">
        <v>1.1294900000000001</v>
      </c>
      <c r="G255" s="439" t="e">
        <f t="shared" si="10"/>
        <v>#DIV/0!</v>
      </c>
      <c r="H255" t="e">
        <f>VLOOKUP(C255,'11.Region'!$B$22:$E$243,4,FALSE)</f>
        <v>#N/A</v>
      </c>
    </row>
    <row r="256" spans="3:8">
      <c r="C256" s="440" t="s">
        <v>3173</v>
      </c>
      <c r="D256" s="438">
        <v>1.1294900000000001</v>
      </c>
      <c r="G256" s="439" t="e">
        <f t="shared" si="10"/>
        <v>#DIV/0!</v>
      </c>
      <c r="H256" t="e">
        <f>VLOOKUP(C256,'11.Region'!$B$22:$E$243,4,FALSE)</f>
        <v>#N/A</v>
      </c>
    </row>
    <row r="257" spans="3:8">
      <c r="C257" s="440" t="s">
        <v>3174</v>
      </c>
      <c r="D257" s="438">
        <v>1.1294900000000001</v>
      </c>
      <c r="G257" s="439" t="e">
        <f t="shared" si="10"/>
        <v>#DIV/0!</v>
      </c>
      <c r="H257" t="e">
        <f>VLOOKUP(C257,'11.Region'!$B$22:$E$243,4,FALSE)</f>
        <v>#N/A</v>
      </c>
    </row>
    <row r="258" spans="3:8">
      <c r="C258" s="440" t="s">
        <v>3175</v>
      </c>
      <c r="D258" s="438">
        <v>1.1294900000000001</v>
      </c>
      <c r="G258" s="439" t="e">
        <f t="shared" si="10"/>
        <v>#DIV/0!</v>
      </c>
      <c r="H258" t="e">
        <f>VLOOKUP(C258,'11.Region'!$B$22:$E$243,4,FALSE)</f>
        <v>#N/A</v>
      </c>
    </row>
    <row r="259" spans="3:8">
      <c r="C259" s="440" t="s">
        <v>3176</v>
      </c>
      <c r="D259" s="438">
        <v>1.1294900000000001</v>
      </c>
      <c r="G259" s="439" t="e">
        <f t="shared" ref="G259:G266" si="12">D259*E259/F259</f>
        <v>#DIV/0!</v>
      </c>
      <c r="H259" t="e">
        <f>VLOOKUP(C259,'11.Region'!$B$22:$E$243,4,FALSE)</f>
        <v>#N/A</v>
      </c>
    </row>
    <row r="260" spans="3:8">
      <c r="C260" s="440" t="s">
        <v>3177</v>
      </c>
      <c r="D260" s="438">
        <v>1.1294900000000001</v>
      </c>
      <c r="G260" s="439" t="e">
        <f t="shared" si="12"/>
        <v>#DIV/0!</v>
      </c>
      <c r="H260" t="e">
        <f>VLOOKUP(C260,'11.Region'!$B$22:$E$243,4,FALSE)</f>
        <v>#N/A</v>
      </c>
    </row>
    <row r="261" spans="3:8">
      <c r="C261" s="440" t="s">
        <v>3178</v>
      </c>
      <c r="D261" s="438">
        <v>1.1294900000000001</v>
      </c>
      <c r="G261" s="439" t="e">
        <f t="shared" si="12"/>
        <v>#DIV/0!</v>
      </c>
      <c r="H261" t="e">
        <f>VLOOKUP(C261,'11.Region'!$B$22:$E$243,4,FALSE)</f>
        <v>#N/A</v>
      </c>
    </row>
    <row r="262" spans="3:8">
      <c r="C262" s="440" t="s">
        <v>3179</v>
      </c>
      <c r="D262" s="438">
        <v>1.1294900000000001</v>
      </c>
      <c r="G262" s="439" t="e">
        <f t="shared" si="12"/>
        <v>#DIV/0!</v>
      </c>
      <c r="H262" t="e">
        <f>VLOOKUP(C262,'11.Region'!$B$22:$E$243,4,FALSE)</f>
        <v>#N/A</v>
      </c>
    </row>
    <row r="263" spans="3:8">
      <c r="C263" s="440" t="s">
        <v>3180</v>
      </c>
      <c r="D263" s="438">
        <v>1.1294900000000001</v>
      </c>
      <c r="G263" s="439" t="e">
        <f t="shared" si="12"/>
        <v>#DIV/0!</v>
      </c>
      <c r="H263" t="e">
        <f>VLOOKUP(C263,'11.Region'!$B$22:$E$243,4,FALSE)</f>
        <v>#N/A</v>
      </c>
    </row>
    <row r="264" spans="3:8">
      <c r="C264" s="440" t="s">
        <v>3181</v>
      </c>
      <c r="D264" s="438">
        <v>1.1294900000000001</v>
      </c>
      <c r="G264" s="439" t="e">
        <f t="shared" si="12"/>
        <v>#DIV/0!</v>
      </c>
      <c r="H264" t="e">
        <f>VLOOKUP(C264,'11.Region'!$B$22:$E$243,4,FALSE)</f>
        <v>#N/A</v>
      </c>
    </row>
    <row r="265" spans="3:8">
      <c r="C265" s="440" t="s">
        <v>3182</v>
      </c>
      <c r="D265" s="438">
        <v>1.1294900000000001</v>
      </c>
      <c r="G265" s="439" t="e">
        <f t="shared" si="12"/>
        <v>#DIV/0!</v>
      </c>
      <c r="H265" t="e">
        <f>VLOOKUP(C265,'11.Region'!$B$22:$E$243,4,FALSE)</f>
        <v>#N/A</v>
      </c>
    </row>
    <row r="266" spans="3:8">
      <c r="C266" s="440" t="s">
        <v>686</v>
      </c>
      <c r="D266" s="438">
        <v>1.1294900000000001</v>
      </c>
      <c r="G266" s="439" t="e">
        <f t="shared" si="12"/>
        <v>#DIV/0!</v>
      </c>
      <c r="H266" t="e">
        <f>VLOOKUP(C266,'11.Region'!$B$22:$E$243,4,FALSE)</f>
        <v>#N/A</v>
      </c>
    </row>
    <row r="267" spans="3:8">
      <c r="G267" s="439"/>
    </row>
    <row r="268" spans="3:8">
      <c r="G268" s="439"/>
    </row>
    <row r="269" spans="3:8">
      <c r="G269" s="439"/>
    </row>
    <row r="270" spans="3:8">
      <c r="G270" s="439"/>
    </row>
    <row r="271" spans="3:8">
      <c r="G271" s="439"/>
    </row>
    <row r="272" spans="3:8">
      <c r="G272" s="439"/>
    </row>
    <row r="273" spans="7:7">
      <c r="G273" s="439"/>
    </row>
  </sheetData>
  <sheetProtection algorithmName="SHA-512" hashValue="goSm9MveTHA62rQbVp7cgnvbT12OIJmfPODfpurdPw50hi0pvrPfRgSaE0+6n3Pavht1bSsd0zZgUMlvJYlZiQ==" saltValue="i0BwoAIDBQUPlXZ3oLLBEQ==" spinCount="100000" sheet="1" objects="1" scenarios="1"/>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dimension ref="A1:M65536"/>
  <sheetViews>
    <sheetView topLeftCell="E197" zoomScale="75" zoomScaleNormal="75" workbookViewId="0">
      <pane ySplit="5220" topLeftCell="A243"/>
      <selection activeCell="H216" sqref="H216"/>
      <selection pane="bottomLeft" activeCell="D243" sqref="D243"/>
    </sheetView>
  </sheetViews>
  <sheetFormatPr baseColWidth="10" defaultColWidth="10.28515625" defaultRowHeight="14.1" customHeight="1"/>
  <cols>
    <col min="1" max="1" width="10.28515625" style="451" customWidth="1"/>
    <col min="2" max="2" width="27.28515625" style="451" customWidth="1"/>
    <col min="3" max="3" width="10.28515625" style="451" customWidth="1"/>
    <col min="4" max="4" width="56.7109375" style="451" customWidth="1"/>
    <col min="5" max="5" width="43" style="451" customWidth="1"/>
    <col min="6" max="6" width="43" style="454" customWidth="1"/>
    <col min="7" max="11" width="43" style="451" customWidth="1"/>
    <col min="12" max="12" width="10.28515625" style="451" customWidth="1"/>
    <col min="13" max="13" width="10.28515625" style="455" customWidth="1"/>
    <col min="14" max="16384" width="10.28515625" style="451"/>
  </cols>
  <sheetData>
    <row r="1" spans="1:11" ht="20.100000000000001" customHeight="1">
      <c r="C1" s="452">
        <f>VLOOKUP('0. Intro'!B1,'12.lan'!B2:C12,2,FALSE)</f>
        <v>1</v>
      </c>
      <c r="D1" s="453">
        <f t="shared" ref="D1:D37" si="0">HLOOKUP($C$1,$E$1:$X$4910,ROW(D1))</f>
        <v>1</v>
      </c>
      <c r="E1" s="451">
        <v>1</v>
      </c>
      <c r="F1" s="454">
        <v>2</v>
      </c>
      <c r="G1" s="451">
        <v>3</v>
      </c>
      <c r="H1" s="451">
        <v>4</v>
      </c>
      <c r="I1" s="451">
        <v>5</v>
      </c>
      <c r="J1" s="451">
        <v>6</v>
      </c>
      <c r="K1" s="451">
        <v>7</v>
      </c>
    </row>
    <row r="2" spans="1:11" ht="14.1" customHeight="1">
      <c r="A2" s="451">
        <v>3</v>
      </c>
      <c r="B2" s="456" t="s">
        <v>3188</v>
      </c>
      <c r="C2" s="451">
        <f>A2</f>
        <v>3</v>
      </c>
      <c r="D2" s="453" t="str">
        <f t="shared" si="0"/>
        <v>Deutsch</v>
      </c>
      <c r="E2" s="457" t="s">
        <v>687</v>
      </c>
      <c r="F2" s="457" t="s">
        <v>688</v>
      </c>
      <c r="G2" s="458" t="s">
        <v>689</v>
      </c>
      <c r="H2" s="459" t="s">
        <v>690</v>
      </c>
      <c r="I2" s="457" t="s">
        <v>691</v>
      </c>
      <c r="J2" s="457" t="s">
        <v>692</v>
      </c>
      <c r="K2" s="457" t="s">
        <v>693</v>
      </c>
    </row>
    <row r="3" spans="1:11" ht="14.1" customHeight="1">
      <c r="A3" s="451">
        <v>1</v>
      </c>
      <c r="B3" s="454" t="s">
        <v>687</v>
      </c>
      <c r="C3" s="451">
        <f>A3</f>
        <v>1</v>
      </c>
      <c r="D3" s="453">
        <f t="shared" si="0"/>
        <v>0</v>
      </c>
      <c r="E3" s="454"/>
      <c r="G3" s="460"/>
      <c r="H3" s="454"/>
      <c r="I3" s="454"/>
      <c r="J3" s="454"/>
    </row>
    <row r="4" spans="1:11" ht="15.75" customHeight="1">
      <c r="A4" s="451">
        <v>2</v>
      </c>
      <c r="B4" s="454" t="s">
        <v>688</v>
      </c>
      <c r="C4" s="451">
        <f t="shared" ref="C4:C12" si="1">A4</f>
        <v>2</v>
      </c>
      <c r="D4" s="453" t="str">
        <f t="shared" si="0"/>
        <v>GEMEINWOHL-RECHNER</v>
      </c>
      <c r="E4" s="454" t="s">
        <v>694</v>
      </c>
      <c r="F4" s="461" t="s">
        <v>695</v>
      </c>
      <c r="G4" s="460" t="s">
        <v>696</v>
      </c>
      <c r="H4" s="454" t="s">
        <v>697</v>
      </c>
      <c r="I4" s="454" t="str">
        <f t="shared" ref="I4:I37" si="2">"[fr]"&amp;E4</f>
        <v>[fr]GEMEINWOHL-RECHNER</v>
      </c>
      <c r="J4" s="454" t="str">
        <f>"[pt]"&amp;E4</f>
        <v>[pt]GEMEINWOHL-RECHNER</v>
      </c>
      <c r="K4" s="454" t="str">
        <f t="shared" ref="K4:K37" si="3">"[gr]"&amp;E4</f>
        <v>[gr]GEMEINWOHL-RECHNER</v>
      </c>
    </row>
    <row r="5" spans="1:11" ht="15.75" customHeight="1">
      <c r="A5" s="451">
        <v>3</v>
      </c>
      <c r="B5" s="454" t="s">
        <v>689</v>
      </c>
      <c r="C5" s="451">
        <f t="shared" si="1"/>
        <v>3</v>
      </c>
      <c r="D5" s="453" t="str">
        <f t="shared" si="0"/>
        <v>© GWÖ</v>
      </c>
      <c r="E5" s="454" t="s">
        <v>698</v>
      </c>
      <c r="F5" s="461" t="s">
        <v>699</v>
      </c>
      <c r="G5" s="460" t="s">
        <v>700</v>
      </c>
      <c r="H5" s="454" t="s">
        <v>701</v>
      </c>
      <c r="I5" s="454" t="str">
        <f t="shared" si="2"/>
        <v>[fr]© GWÖ</v>
      </c>
      <c r="J5" s="454" t="str">
        <f>"[pt]"&amp;E5</f>
        <v>[pt]© GWÖ</v>
      </c>
      <c r="K5" s="454" t="str">
        <f t="shared" si="3"/>
        <v>[gr]© GWÖ</v>
      </c>
    </row>
    <row r="6" spans="1:11" ht="15.75" customHeight="1">
      <c r="A6" s="451">
        <v>4</v>
      </c>
      <c r="B6" s="459" t="s">
        <v>690</v>
      </c>
      <c r="C6" s="451">
        <f t="shared" si="1"/>
        <v>4</v>
      </c>
      <c r="D6" s="453" t="str">
        <f t="shared" si="0"/>
        <v>Version</v>
      </c>
      <c r="E6" s="462" t="s">
        <v>702</v>
      </c>
      <c r="F6" s="462" t="s">
        <v>703</v>
      </c>
      <c r="G6" s="463" t="s">
        <v>702</v>
      </c>
      <c r="H6" s="454" t="s">
        <v>704</v>
      </c>
      <c r="I6" s="454" t="str">
        <f t="shared" si="2"/>
        <v>[fr]Version</v>
      </c>
      <c r="J6" s="454" t="s">
        <v>705</v>
      </c>
      <c r="K6" s="454" t="str">
        <f t="shared" si="3"/>
        <v>[gr]Version</v>
      </c>
    </row>
    <row r="7" spans="1:11" ht="15.75" customHeight="1">
      <c r="A7" s="451">
        <v>5</v>
      </c>
      <c r="B7" s="454" t="s">
        <v>691</v>
      </c>
      <c r="C7" s="451">
        <f t="shared" si="1"/>
        <v>5</v>
      </c>
      <c r="D7" s="453" t="str">
        <f t="shared" si="0"/>
        <v>HERZLICH WILLKOMMEN!</v>
      </c>
      <c r="E7" s="461" t="s">
        <v>706</v>
      </c>
      <c r="F7" s="461" t="s">
        <v>707</v>
      </c>
      <c r="G7" s="464" t="s">
        <v>708</v>
      </c>
      <c r="H7" s="454" t="s">
        <v>709</v>
      </c>
      <c r="I7" s="454" t="str">
        <f t="shared" si="2"/>
        <v>[fr]HERZLICH WILLKOMMEN!</v>
      </c>
      <c r="J7" s="454" t="str">
        <f t="shared" ref="J7:J37" si="4">"[pt]"&amp;E7</f>
        <v>[pt]HERZLICH WILLKOMMEN!</v>
      </c>
      <c r="K7" s="454" t="str">
        <f t="shared" si="3"/>
        <v>[gr]HERZLICH WILLKOMMEN!</v>
      </c>
    </row>
    <row r="8" spans="1:11" ht="81.599999999999994" customHeight="1">
      <c r="A8" s="451">
        <v>6</v>
      </c>
      <c r="B8" s="454" t="s">
        <v>692</v>
      </c>
      <c r="C8" s="451">
        <f t="shared" si="1"/>
        <v>6</v>
      </c>
      <c r="D8" s="453" t="str">
        <f t="shared" si="0"/>
        <v>Dieses Tool dient zur Berechnung der Gemeinwohl-Punkte Ihres Unternehmens. Es ist eine Ergänzung zum Gemeinwohlbericht und muss gemeinsam mit diesem genutzt werden.  Wir wünschen gutes Gelingen!</v>
      </c>
      <c r="E8" s="454" t="s">
        <v>710</v>
      </c>
      <c r="F8" s="454" t="s">
        <v>711</v>
      </c>
      <c r="G8" s="465" t="s">
        <v>712</v>
      </c>
      <c r="H8" s="454" t="s">
        <v>713</v>
      </c>
      <c r="I8" s="454" t="str">
        <f t="shared" si="2"/>
        <v>[fr]Dieses Tool dient zur Berechnung der Gemeinwohl-Punkte Ihres Unternehmens. Es ist eine Ergänzung zum Gemeinwohlbericht und muss gemeinsam mit diesem genutzt werden.  Wir wünschen gutes Gelingen!</v>
      </c>
      <c r="J8" s="454" t="str">
        <f t="shared" si="4"/>
        <v>[pt]Dieses Tool dient zur Berechnung der Gemeinwohl-Punkte Ihres Unternehmens. Es ist eine Ergänzung zum Gemeinwohlbericht und muss gemeinsam mit diesem genutzt werden.  Wir wünschen gutes Gelingen!</v>
      </c>
      <c r="K8" s="454" t="str">
        <f t="shared" si="3"/>
        <v>[gr]Dieses Tool dient zur Berechnung der Gemeinwohl-Punkte Ihres Unternehmens. Es ist eine Ergänzung zum Gemeinwohlbericht und muss gemeinsam mit diesem genutzt werden.  Wir wünschen gutes Gelingen!</v>
      </c>
    </row>
    <row r="9" spans="1:11" ht="28.5" customHeight="1">
      <c r="A9" s="451">
        <v>7</v>
      </c>
      <c r="B9" s="454" t="s">
        <v>693</v>
      </c>
      <c r="C9" s="451">
        <f t="shared" si="1"/>
        <v>7</v>
      </c>
      <c r="D9" s="453" t="str">
        <f t="shared" si="0"/>
        <v>WIE SIE DEN BILANZ-RECHNER RICHTIG VERWENDEN:</v>
      </c>
      <c r="E9" s="454" t="s">
        <v>714</v>
      </c>
      <c r="F9" s="454" t="s">
        <v>715</v>
      </c>
      <c r="G9" s="460" t="s">
        <v>716</v>
      </c>
      <c r="H9" s="454" t="s">
        <v>717</v>
      </c>
      <c r="I9" s="454" t="str">
        <f t="shared" si="2"/>
        <v>[fr]WIE SIE DEN BILANZ-RECHNER RICHTIG VERWENDEN:</v>
      </c>
      <c r="J9" s="454" t="str">
        <f t="shared" si="4"/>
        <v>[pt]WIE SIE DEN BILANZ-RECHNER RICHTIG VERWENDEN:</v>
      </c>
      <c r="K9" s="454" t="str">
        <f t="shared" si="3"/>
        <v>[gr]WIE SIE DEN BILANZ-RECHNER RICHTIG VERWENDEN:</v>
      </c>
    </row>
    <row r="10" spans="1:11" ht="15.75" customHeight="1">
      <c r="A10" s="451">
        <v>8</v>
      </c>
      <c r="B10" s="454"/>
      <c r="C10" s="451">
        <f t="shared" si="1"/>
        <v>8</v>
      </c>
      <c r="D10" s="453" t="str">
        <f t="shared" si="0"/>
        <v>1. Allgemeines</v>
      </c>
      <c r="E10" s="454" t="s">
        <v>718</v>
      </c>
      <c r="F10" s="461" t="s">
        <v>719</v>
      </c>
      <c r="G10" s="460" t="s">
        <v>720</v>
      </c>
      <c r="H10" s="454" t="s">
        <v>720</v>
      </c>
      <c r="I10" s="454" t="str">
        <f t="shared" si="2"/>
        <v>[fr]1. Allgemeines</v>
      </c>
      <c r="J10" s="454" t="str">
        <f t="shared" si="4"/>
        <v>[pt]1. Allgemeines</v>
      </c>
      <c r="K10" s="454" t="str">
        <f t="shared" si="3"/>
        <v>[gr]1. Allgemeines</v>
      </c>
    </row>
    <row r="11" spans="1:11" ht="28.5" customHeight="1">
      <c r="A11" s="451">
        <v>9</v>
      </c>
      <c r="B11" s="454"/>
      <c r="C11" s="451">
        <f t="shared" si="1"/>
        <v>9</v>
      </c>
      <c r="D11" s="453" t="str">
        <f t="shared" si="0"/>
        <v>Hier können Sie allgemeinen Angaben zu Ihrem Unternehmen machen.</v>
      </c>
      <c r="E11" s="454" t="s">
        <v>721</v>
      </c>
      <c r="F11" s="454" t="s">
        <v>722</v>
      </c>
      <c r="G11" s="460" t="s">
        <v>723</v>
      </c>
      <c r="H11" s="454" t="s">
        <v>724</v>
      </c>
      <c r="I11" s="454" t="str">
        <f t="shared" si="2"/>
        <v>[fr]Hier können Sie allgemeinen Angaben zu Ihrem Unternehmen machen.</v>
      </c>
      <c r="J11" s="454" t="str">
        <f t="shared" si="4"/>
        <v>[pt]Hier können Sie allgemeinen Angaben zu Ihrem Unternehmen machen.</v>
      </c>
      <c r="K11" s="454" t="str">
        <f t="shared" si="3"/>
        <v>[gr]Hier können Sie allgemeinen Angaben zu Ihrem Unternehmen machen.</v>
      </c>
    </row>
    <row r="12" spans="1:11" ht="41.85" customHeight="1">
      <c r="A12" s="451">
        <v>10</v>
      </c>
      <c r="B12" s="454"/>
      <c r="C12" s="451">
        <f t="shared" si="1"/>
        <v>10</v>
      </c>
      <c r="D12" s="453" t="str">
        <f t="shared" si="0"/>
        <v xml:space="preserve">Hier müssen alle geforderten Kenngrößen eingetragen werden, da diese für die Gewichtung der Themen essentiell sind. </v>
      </c>
      <c r="E12" s="454" t="s">
        <v>725</v>
      </c>
      <c r="F12" s="454" t="s">
        <v>726</v>
      </c>
      <c r="G12" s="460" t="s">
        <v>727</v>
      </c>
      <c r="H12" s="454" t="s">
        <v>728</v>
      </c>
      <c r="I12" s="454" t="str">
        <f t="shared" si="2"/>
        <v xml:space="preserve">[fr]Hier müssen alle geforderten Kenngrößen eingetragen werden, da diese für die Gewichtung der Themen essentiell sind. </v>
      </c>
      <c r="J12" s="454" t="str">
        <f t="shared" si="4"/>
        <v xml:space="preserve">[pt]Hier müssen alle geforderten Kenngrößen eingetragen werden, da diese für die Gewichtung der Themen essentiell sind. </v>
      </c>
      <c r="K12" s="454" t="str">
        <f t="shared" si="3"/>
        <v xml:space="preserve">[gr]Hier müssen alle geforderten Kenngrößen eingetragen werden, da diese für die Gewichtung der Themen essentiell sind. </v>
      </c>
    </row>
    <row r="13" spans="1:11" ht="54.75" customHeight="1">
      <c r="A13" s="451">
        <v>11</v>
      </c>
      <c r="B13" s="454"/>
      <c r="C13" s="466"/>
      <c r="D13" s="453" t="str">
        <f t="shared" si="0"/>
        <v>Für jedes Thema (A1, B1, ...) kann eine bestimmte Anzahl an Gemeinwohl-Punkten erreicht werden. Um zu ermitteln, wie viele davon Ihr Unternehmen erhält, gehen Sie wie folgt vor:</v>
      </c>
      <c r="E13" s="454" t="s">
        <v>729</v>
      </c>
      <c r="F13" s="454" t="s">
        <v>730</v>
      </c>
      <c r="G13" s="460" t="s">
        <v>731</v>
      </c>
      <c r="H13" s="454" t="s">
        <v>732</v>
      </c>
      <c r="I13" s="454" t="str">
        <f t="shared" si="2"/>
        <v>[fr]Für jedes Thema (A1, B1, ...) kann eine bestimmte Anzahl an Gemeinwohl-Punkten erreicht werden. Um zu ermitteln, wie viele davon Ihr Unternehmen erhält, gehen Sie wie folgt vor:</v>
      </c>
      <c r="J13" s="454" t="str">
        <f t="shared" si="4"/>
        <v>[pt]Für jedes Thema (A1, B1, ...) kann eine bestimmte Anzahl an Gemeinwohl-Punkten erreicht werden. Um zu ermitteln, wie viele davon Ihr Unternehmen erhält, gehen Sie wie folgt vor:</v>
      </c>
      <c r="K13" s="454" t="str">
        <f t="shared" si="3"/>
        <v>[gr]Für jedes Thema (A1, B1, ...) kann eine bestimmte Anzahl an Gemeinwohl-Punkten erreicht werden. Um zu ermitteln, wie viele davon Ihr Unternehmen erhält, gehen Sie wie folgt vor:</v>
      </c>
    </row>
    <row r="14" spans="1:11" ht="68.25" customHeight="1">
      <c r="A14" s="451">
        <v>12</v>
      </c>
      <c r="B14" s="454"/>
      <c r="C14" s="466"/>
      <c r="D14" s="453" t="str">
        <f t="shared" si="0"/>
        <v>Beschreiben Sie auf Basis des Arbeitsbuchs in wenigen Stichworten Ist-Zustand und Verbesserungspotenzial für die verschiedenen Aspekte (optional, ist für die Berechnung nicht unbedingt notwendig).</v>
      </c>
      <c r="E14" s="426" t="s">
        <v>733</v>
      </c>
      <c r="F14" s="454" t="s">
        <v>734</v>
      </c>
      <c r="G14" s="460" t="s">
        <v>735</v>
      </c>
      <c r="H14" s="454" t="s">
        <v>736</v>
      </c>
      <c r="I14" s="454" t="str">
        <f t="shared" si="2"/>
        <v>[fr]Beschreiben Sie auf Basis des Arbeitsbuchs in wenigen Stichworten Ist-Zustand und Verbesserungspotenzial für die verschiedenen Aspekte (optional, ist für die Berechnung nicht unbedingt notwendig).</v>
      </c>
      <c r="J14" s="454" t="str">
        <f t="shared" si="4"/>
        <v>[pt]Beschreiben Sie auf Basis des Arbeitsbuchs in wenigen Stichworten Ist-Zustand und Verbesserungspotenzial für die verschiedenen Aspekte (optional, ist für die Berechnung nicht unbedingt notwendig).</v>
      </c>
      <c r="K14" s="454" t="str">
        <f t="shared" si="3"/>
        <v>[gr]Beschreiben Sie auf Basis des Arbeitsbuchs in wenigen Stichworten Ist-Zustand und Verbesserungspotenzial für die verschiedenen Aspekte (optional, ist für die Berechnung nicht unbedingt notwendig).</v>
      </c>
    </row>
    <row r="15" spans="1:11" ht="94.5" customHeight="1">
      <c r="A15" s="451">
        <v>13</v>
      </c>
      <c r="B15" s="454"/>
      <c r="C15" s="466"/>
      <c r="D15" s="453" t="str">
        <f t="shared" si="0"/>
        <v>Geben Sie - aufbauend auf diesen Beschreibungen - an, entsprechend welchem Skalenwert (0-10) Ihrer Meinung nach der jeweilige Aspekt erfüllt ist (Spalte "Erfüllungsgrad"). Anhaltspunkte zur Wahl des "richtigen" Skalenwerts finden Sie wiederum im Arbeitsbuch.</v>
      </c>
      <c r="E15" s="467" t="s">
        <v>737</v>
      </c>
      <c r="F15" s="454" t="s">
        <v>738</v>
      </c>
      <c r="G15" s="460" t="s">
        <v>739</v>
      </c>
      <c r="H15" s="454" t="s">
        <v>740</v>
      </c>
      <c r="I15" s="454" t="str">
        <f t="shared" si="2"/>
        <v>[fr]Geben Sie - aufbauend auf diesen Beschreibungen - an, entsprechend welchem Skalenwert (0-10) Ihrer Meinung nach der jeweilige Aspekt erfüllt ist (Spalte "Erfüllungsgrad"). Anhaltspunkte zur Wahl des "richtigen" Skalenwerts finden Sie wiederum im Arbeitsbuch.</v>
      </c>
      <c r="J15" s="454" t="str">
        <f t="shared" si="4"/>
        <v>[pt]Geben Sie - aufbauend auf diesen Beschreibungen - an, entsprechend welchem Skalenwert (0-10) Ihrer Meinung nach der jeweilige Aspekt erfüllt ist (Spalte "Erfüllungsgrad"). Anhaltspunkte zur Wahl des "richtigen" Skalenwerts finden Sie wiederum im Arbeitsbuch.</v>
      </c>
      <c r="K15" s="454" t="str">
        <f t="shared" si="3"/>
        <v>[gr]Geben Sie - aufbauend auf diesen Beschreibungen - an, entsprechend welchem Skalenwert (0-10) Ihrer Meinung nach der jeweilige Aspekt erfüllt ist (Spalte "Erfüllungsgrad"). Anhaltspunkte zur Wahl des "richtigen" Skalenwerts finden Sie wiederum im Arbeitsbuch.</v>
      </c>
    </row>
    <row r="16" spans="1:11" ht="44.1" customHeight="1">
      <c r="A16" s="451">
        <v>14</v>
      </c>
      <c r="B16" s="454"/>
      <c r="C16" s="466"/>
      <c r="D16" s="453" t="str">
        <f t="shared" si="0"/>
        <v xml:space="preserve">Für die Bewertung der Negativaspekte geben Sie Punktewerte entsprechend der Beschreibungen im Arbeitsbuch an. </v>
      </c>
      <c r="E16" s="454" t="s">
        <v>741</v>
      </c>
      <c r="F16" s="454" t="s">
        <v>742</v>
      </c>
      <c r="G16" s="460" t="s">
        <v>743</v>
      </c>
      <c r="H16" s="454" t="s">
        <v>744</v>
      </c>
      <c r="I16" s="454" t="str">
        <f t="shared" si="2"/>
        <v xml:space="preserve">[fr]Für die Bewertung der Negativaspekte geben Sie Punktewerte entsprechend der Beschreibungen im Arbeitsbuch an. </v>
      </c>
      <c r="J16" s="454" t="str">
        <f t="shared" si="4"/>
        <v xml:space="preserve">[pt]Für die Bewertung der Negativaspekte geben Sie Punktewerte entsprechend der Beschreibungen im Arbeitsbuch an. </v>
      </c>
      <c r="K16" s="454" t="str">
        <f t="shared" si="3"/>
        <v xml:space="preserve">[gr]Für die Bewertung der Negativaspekte geben Sie Punktewerte entsprechend der Beschreibungen im Arbeitsbuch an. </v>
      </c>
    </row>
    <row r="17" spans="1:11" ht="124.5" customHeight="1">
      <c r="A17" s="451">
        <v>15</v>
      </c>
      <c r="B17" s="454"/>
      <c r="C17" s="466"/>
      <c r="D17" s="453" t="str">
        <f t="shared" si="0"/>
        <v>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c r="E17" s="468" t="s">
        <v>745</v>
      </c>
      <c r="F17" s="454" t="s">
        <v>746</v>
      </c>
      <c r="G17" s="460" t="s">
        <v>747</v>
      </c>
      <c r="H17" s="454" t="s">
        <v>748</v>
      </c>
      <c r="I17" s="454" t="str">
        <f t="shared" si="2"/>
        <v>[fr]Sie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c r="J17" s="454" t="str">
        <f t="shared" si="4"/>
        <v>[pt]Sie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c r="K17" s="454" t="str">
        <f t="shared" si="3"/>
        <v>[gr]Sie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row>
    <row r="18" spans="1:11" ht="54.75" customHeight="1">
      <c r="A18" s="451">
        <v>16</v>
      </c>
      <c r="B18" s="454"/>
      <c r="C18" s="466"/>
      <c r="D18" s="453" t="str">
        <f t="shared" si="0"/>
        <v>Bei der Berechnung werden die Gesamtwerte pro Thema automatisch entsprechend der Angaben im Faktenblatt gewichtet und auf ganzzahlige Vielfache von 10% gerundet.</v>
      </c>
      <c r="E18" s="454" t="s">
        <v>749</v>
      </c>
      <c r="F18" s="454" t="s">
        <v>750</v>
      </c>
      <c r="G18" s="460" t="s">
        <v>751</v>
      </c>
      <c r="H18" s="454" t="s">
        <v>752</v>
      </c>
      <c r="I18" s="454" t="str">
        <f t="shared" si="2"/>
        <v>[fr]Bei der Berechnung werden die Gesamtwerte pro Thema automatisch entsprechend der Angaben im Faktenblatt gewichtet und auf ganzzahlige Vielfache von 10% gerundet.</v>
      </c>
      <c r="J18" s="454" t="str">
        <f t="shared" si="4"/>
        <v>[pt]Bei der Berechnung werden die Gesamtwerte pro Thema automatisch entsprechend der Angaben im Faktenblatt gewichtet und auf ganzzahlige Vielfache von 10% gerundet.</v>
      </c>
      <c r="K18" s="454" t="str">
        <f t="shared" si="3"/>
        <v>[gr]Bei der Berechnung werden die Gesamtwerte pro Thema automatisch entsprechend der Angaben im Faktenblatt gewichtet und auf ganzzahlige Vielfache von 10% gerundet.</v>
      </c>
    </row>
    <row r="19" spans="1:11" ht="28.5" customHeight="1">
      <c r="B19" s="454"/>
      <c r="C19" s="466"/>
      <c r="D19" s="453" t="str">
        <f t="shared" si="0"/>
        <v>Die "GW-Matrix" bietet einen tabellarischen Überblick über Ihr Ergebnis.</v>
      </c>
      <c r="E19" s="454" t="s">
        <v>753</v>
      </c>
      <c r="F19" s="454" t="s">
        <v>754</v>
      </c>
      <c r="G19" s="460" t="s">
        <v>755</v>
      </c>
      <c r="H19" s="454" t="s">
        <v>756</v>
      </c>
      <c r="I19" s="454" t="str">
        <f t="shared" si="2"/>
        <v>[fr]Die "GW-Matrix" bietet einen tabellarischen Überblick über Ihr Ergebnis.</v>
      </c>
      <c r="J19" s="454" t="str">
        <f t="shared" si="4"/>
        <v>[pt]Die "GW-Matrix" bietet einen tabellarischen Überblick über Ihr Ergebnis.</v>
      </c>
      <c r="K19" s="454" t="str">
        <f t="shared" si="3"/>
        <v>[gr]Die "GW-Matrix" bietet einen tabellarischen Überblick über Ihr Ergebnis.</v>
      </c>
    </row>
    <row r="20" spans="1:11" ht="41.85" customHeight="1">
      <c r="B20" s="466"/>
      <c r="C20" s="466"/>
      <c r="D20" s="453" t="str">
        <f t="shared" si="0"/>
        <v>Die "GW-Matrix" bietet einen tabellarischen Blick auf Ihr Ergebnis.</v>
      </c>
      <c r="E20" s="454" t="s">
        <v>757</v>
      </c>
      <c r="F20" s="454" t="s">
        <v>758</v>
      </c>
      <c r="G20" s="460" t="s">
        <v>759</v>
      </c>
      <c r="H20" s="454" t="s">
        <v>760</v>
      </c>
      <c r="I20" s="454" t="str">
        <f t="shared" si="2"/>
        <v>[fr]Die "GW-Matrix" bietet einen tabellarischen Blick auf Ihr Ergebnis.</v>
      </c>
      <c r="J20" s="454" t="str">
        <f t="shared" si="4"/>
        <v>[pt]Die "GW-Matrix" bietet einen tabellarischen Blick auf Ihr Ergebnis.</v>
      </c>
      <c r="K20" s="454" t="str">
        <f t="shared" si="3"/>
        <v>[gr]Die "GW-Matrix" bietet einen tabellarischen Blick auf Ihr Ergebnis.</v>
      </c>
    </row>
    <row r="21" spans="1:11" ht="41.85" customHeight="1">
      <c r="B21" s="466"/>
      <c r="C21" s="466"/>
      <c r="D21" s="453" t="str">
        <f t="shared" si="0"/>
        <v>Der "Werte-Stern" zeigt schließlich Ihr Ergebnis nach Werten gegliedert in graphischer Form.</v>
      </c>
      <c r="E21" s="454" t="s">
        <v>761</v>
      </c>
      <c r="F21" s="454" t="s">
        <v>762</v>
      </c>
      <c r="G21" s="460" t="s">
        <v>763</v>
      </c>
      <c r="H21" s="454" t="s">
        <v>764</v>
      </c>
      <c r="I21" s="454" t="str">
        <f t="shared" si="2"/>
        <v>[fr]Der "Werte-Stern" zeigt schließlich Ihr Ergebnis nach Werten gegliedert in graphischer Form.</v>
      </c>
      <c r="J21" s="454" t="str">
        <f t="shared" si="4"/>
        <v>[pt]Der "Werte-Stern" zeigt schließlich Ihr Ergebnis nach Werten gegliedert in graphischer Form.</v>
      </c>
      <c r="K21" s="454" t="str">
        <f t="shared" si="3"/>
        <v>[gr]Der "Werte-Stern" zeigt schließlich Ihr Ergebnis nach Werten gegliedert in graphischer Form.</v>
      </c>
    </row>
    <row r="22" spans="1:11" ht="41.85" customHeight="1">
      <c r="B22" s="466"/>
      <c r="C22" s="466"/>
      <c r="D22" s="453" t="str">
        <f t="shared" si="0"/>
        <v>Der "Gruppen-Stern" zeigt schließlich Ihr Ergebnis nach Berührungsgruppen gegliedert in graphischer Form.</v>
      </c>
      <c r="E22" s="426" t="s">
        <v>765</v>
      </c>
      <c r="F22" s="454" t="s">
        <v>766</v>
      </c>
      <c r="G22" s="460" t="s">
        <v>767</v>
      </c>
      <c r="H22" s="454" t="s">
        <v>768</v>
      </c>
      <c r="I22" s="454" t="str">
        <f t="shared" si="2"/>
        <v>[fr]Der "Gruppen-Stern" zeigt schließlich Ihr Ergebnis nach Berührungsgruppen gegliedert in graphischer Form.</v>
      </c>
      <c r="J22" s="454" t="str">
        <f t="shared" si="4"/>
        <v>[pt]Der "Gruppen-Stern" zeigt schließlich Ihr Ergebnis nach Berührungsgruppen gegliedert in graphischer Form.</v>
      </c>
      <c r="K22" s="454" t="str">
        <f t="shared" si="3"/>
        <v>[gr]Der "Gruppen-Stern" zeigt schließlich Ihr Ergebnis nach Berührungsgruppen gegliedert in graphischer Form.</v>
      </c>
    </row>
    <row r="23" spans="1:11" ht="28.5" customHeight="1">
      <c r="B23" s="466"/>
      <c r="C23" s="466"/>
      <c r="D23" s="453" t="str">
        <f t="shared" si="0"/>
        <v>Der "Themen-Stern" zeigt schließlich Ihr Ergebnis in allen Themen in graphischer Form.</v>
      </c>
      <c r="E23" s="459" t="s">
        <v>769</v>
      </c>
      <c r="F23" s="454" t="s">
        <v>770</v>
      </c>
      <c r="G23" s="460" t="s">
        <v>771</v>
      </c>
      <c r="H23" s="454" t="s">
        <v>772</v>
      </c>
      <c r="I23" s="454" t="str">
        <f t="shared" si="2"/>
        <v>[fr]Der "Themen-Stern" zeigt schließlich Ihr Ergebnis in allen Themen in graphischer Form.</v>
      </c>
      <c r="J23" s="454" t="str">
        <f t="shared" si="4"/>
        <v>[pt]Der "Themen-Stern" zeigt schließlich Ihr Ergebnis in allen Themen in graphischer Form.</v>
      </c>
      <c r="K23" s="454" t="str">
        <f t="shared" si="3"/>
        <v>[gr]Der "Themen-Stern" zeigt schließlich Ihr Ergebnis in allen Themen in graphischer Form.</v>
      </c>
    </row>
    <row r="24" spans="1:11" ht="28.5" customHeight="1">
      <c r="B24" s="466"/>
      <c r="C24" s="466"/>
      <c r="D24" s="453" t="str">
        <f t="shared" si="0"/>
        <v xml:space="preserve">Hier finden Sie eine Beschreibung der Gewichtungsmodelles. </v>
      </c>
      <c r="E24" s="454" t="s">
        <v>773</v>
      </c>
      <c r="F24" s="454" t="s">
        <v>774</v>
      </c>
      <c r="G24" s="460" t="s">
        <v>775</v>
      </c>
      <c r="H24" s="454" t="s">
        <v>776</v>
      </c>
      <c r="I24" s="454" t="str">
        <f t="shared" si="2"/>
        <v xml:space="preserve">[fr]Hier finden Sie eine Beschreibung der Gewichtungsmodelles. </v>
      </c>
      <c r="J24" s="454" t="str">
        <f t="shared" si="4"/>
        <v xml:space="preserve">[pt]Hier finden Sie eine Beschreibung der Gewichtungsmodelles. </v>
      </c>
      <c r="K24" s="454" t="str">
        <f t="shared" si="3"/>
        <v xml:space="preserve">[gr]Hier finden Sie eine Beschreibung der Gewichtungsmodelles. </v>
      </c>
    </row>
    <row r="25" spans="1:11" ht="41.85" customHeight="1">
      <c r="B25" s="466"/>
      <c r="C25" s="466"/>
      <c r="D25" s="453" t="str">
        <f t="shared" si="0"/>
        <v>Hier erfolgt die Berechnung wie die einzelnen Berührungsgruppen und Themen gewichtet werden.</v>
      </c>
      <c r="E25" s="454" t="s">
        <v>777</v>
      </c>
      <c r="F25" s="454" t="s">
        <v>778</v>
      </c>
      <c r="G25" s="460" t="s">
        <v>779</v>
      </c>
      <c r="H25" s="454" t="s">
        <v>780</v>
      </c>
      <c r="I25" s="454" t="str">
        <f t="shared" si="2"/>
        <v>[fr]Hier erfolgt die Berechnung wie die einzelnen Berührungsgruppen und Themen gewichtet werden.</v>
      </c>
      <c r="J25" s="454" t="str">
        <f t="shared" si="4"/>
        <v>[pt]Hier erfolgt die Berechnung wie die einzelnen Berührungsgruppen und Themen gewichtet werden.</v>
      </c>
      <c r="K25" s="454" t="str">
        <f t="shared" si="3"/>
        <v>[gr]Hier erfolgt die Berechnung wie die einzelnen Berührungsgruppen und Themen gewichtet werden.</v>
      </c>
    </row>
    <row r="26" spans="1:11" ht="54.75" customHeight="1">
      <c r="B26" s="466"/>
      <c r="C26" s="466"/>
      <c r="D26" s="453" t="str">
        <f t="shared" si="0"/>
        <v xml:space="preserve">Enthält Einschätzungen der Relevanz von Zulieferkette und ökologische Nachhaltigkeit für alle Branchen,, die für die Gewichtung herangezogen werden. </v>
      </c>
      <c r="E26" s="454" t="s">
        <v>781</v>
      </c>
      <c r="F26" s="454" t="s">
        <v>782</v>
      </c>
      <c r="G26" s="460" t="s">
        <v>783</v>
      </c>
      <c r="H26" s="454" t="s">
        <v>784</v>
      </c>
      <c r="I26" s="454" t="str">
        <f t="shared" si="2"/>
        <v xml:space="preserve">[fr]Enthält Einschätzungen der Relevanz von Zulieferkette und ökologische Nachhaltigkeit für alle Branchen,, die für die Gewichtung herangezogen werden. </v>
      </c>
      <c r="J26" s="454" t="str">
        <f t="shared" si="4"/>
        <v xml:space="preserve">[pt]Enthält Einschätzungen der Relevanz von Zulieferkette und ökologische Nachhaltigkeit für alle Branchen,, die für die Gewichtung herangezogen werden. </v>
      </c>
      <c r="K26" s="454" t="str">
        <f t="shared" si="3"/>
        <v xml:space="preserve">[gr]Enthält Einschätzungen der Relevanz von Zulieferkette und ökologische Nachhaltigkeit für alle Branchen,, die für die Gewichtung herangezogen werden. </v>
      </c>
    </row>
    <row r="27" spans="1:11" ht="28.5" customHeight="1">
      <c r="B27" s="466"/>
      <c r="C27" s="466"/>
      <c r="D27" s="453" t="str">
        <f t="shared" si="0"/>
        <v xml:space="preserve">Enthält Statistiken für Länder und Regionen, die für die Gewichtung herangezogen werden. </v>
      </c>
      <c r="E27" s="454" t="s">
        <v>785</v>
      </c>
      <c r="F27" s="454" t="s">
        <v>786</v>
      </c>
      <c r="G27" s="460" t="s">
        <v>787</v>
      </c>
      <c r="H27" s="454" t="s">
        <v>788</v>
      </c>
      <c r="I27" s="454" t="str">
        <f t="shared" si="2"/>
        <v xml:space="preserve">[fr]Enthält Statistiken für Länder und Regionen, die für die Gewichtung herangezogen werden. </v>
      </c>
      <c r="J27" s="454" t="str">
        <f t="shared" si="4"/>
        <v xml:space="preserve">[pt]Enthält Statistiken für Länder und Regionen, die für die Gewichtung herangezogen werden. </v>
      </c>
      <c r="K27" s="454" t="str">
        <f t="shared" si="3"/>
        <v xml:space="preserve">[gr]Enthält Statistiken für Länder und Regionen, die für die Gewichtung herangezogen werden. </v>
      </c>
    </row>
    <row r="28" spans="1:11" ht="15.75" customHeight="1">
      <c r="B28" s="466"/>
      <c r="C28" s="466"/>
      <c r="D28" s="453" t="str">
        <f t="shared" si="0"/>
        <v>2. Fakten zum Unternehmen</v>
      </c>
      <c r="E28" s="454" t="s">
        <v>789</v>
      </c>
      <c r="F28" s="454" t="s">
        <v>790</v>
      </c>
      <c r="G28" s="460" t="s">
        <v>791</v>
      </c>
      <c r="H28" s="454" t="s">
        <v>792</v>
      </c>
      <c r="I28" s="454" t="str">
        <f t="shared" si="2"/>
        <v>[fr]2. Fakten zum Unternehmen</v>
      </c>
      <c r="J28" s="454" t="str">
        <f t="shared" si="4"/>
        <v>[pt]2. Fakten zum Unternehmen</v>
      </c>
      <c r="K28" s="454" t="str">
        <f t="shared" si="3"/>
        <v>[gr]2. Fakten zum Unternehmen</v>
      </c>
    </row>
    <row r="29" spans="1:11" ht="15.75" customHeight="1">
      <c r="B29" s="466"/>
      <c r="C29" s="466"/>
      <c r="D29" s="453" t="str">
        <f t="shared" si="0"/>
        <v>3. Berechnung</v>
      </c>
      <c r="E29" s="454" t="s">
        <v>793</v>
      </c>
      <c r="F29" s="454" t="s">
        <v>794</v>
      </c>
      <c r="G29" s="460" t="s">
        <v>795</v>
      </c>
      <c r="H29" s="454" t="s">
        <v>796</v>
      </c>
      <c r="I29" s="454" t="str">
        <f t="shared" si="2"/>
        <v>[fr]3. Berechnung</v>
      </c>
      <c r="J29" s="454" t="str">
        <f t="shared" si="4"/>
        <v>[pt]3. Berechnung</v>
      </c>
      <c r="K29" s="454" t="str">
        <f t="shared" si="3"/>
        <v>[gr]3. Berechnung</v>
      </c>
    </row>
    <row r="30" spans="1:11" ht="15.75" customHeight="1">
      <c r="B30" s="466"/>
      <c r="C30" s="466"/>
      <c r="D30" s="453" t="str">
        <f t="shared" si="0"/>
        <v>4. GW-Matrix</v>
      </c>
      <c r="E30" s="454" t="s">
        <v>797</v>
      </c>
      <c r="F30" s="454" t="s">
        <v>798</v>
      </c>
      <c r="G30" s="460" t="s">
        <v>799</v>
      </c>
      <c r="H30" s="454" t="s">
        <v>800</v>
      </c>
      <c r="I30" s="454" t="str">
        <f t="shared" si="2"/>
        <v>[fr]4. GW-Matrix</v>
      </c>
      <c r="J30" s="454" t="str">
        <f t="shared" si="4"/>
        <v>[pt]4. GW-Matrix</v>
      </c>
      <c r="K30" s="454" t="str">
        <f t="shared" si="3"/>
        <v>[gr]4. GW-Matrix</v>
      </c>
    </row>
    <row r="31" spans="1:11" ht="15.75" customHeight="1">
      <c r="B31" s="466"/>
      <c r="C31" s="466"/>
      <c r="D31" s="453" t="str">
        <f t="shared" si="0"/>
        <v>5. Werte-Stern</v>
      </c>
      <c r="E31" s="454" t="s">
        <v>801</v>
      </c>
      <c r="F31" s="454" t="s">
        <v>802</v>
      </c>
      <c r="G31" s="460" t="s">
        <v>803</v>
      </c>
      <c r="H31" s="454" t="s">
        <v>804</v>
      </c>
      <c r="I31" s="454" t="str">
        <f t="shared" si="2"/>
        <v>[fr]5. Werte-Stern</v>
      </c>
      <c r="J31" s="454" t="str">
        <f t="shared" si="4"/>
        <v>[pt]5. Werte-Stern</v>
      </c>
      <c r="K31" s="454" t="str">
        <f t="shared" si="3"/>
        <v>[gr]5. Werte-Stern</v>
      </c>
    </row>
    <row r="32" spans="1:11" ht="15.75" customHeight="1">
      <c r="B32" s="466"/>
      <c r="C32" s="466"/>
      <c r="D32" s="453" t="str">
        <f t="shared" si="0"/>
        <v>6. Gruppen-Stern</v>
      </c>
      <c r="E32" s="454" t="s">
        <v>805</v>
      </c>
      <c r="F32" s="454" t="s">
        <v>806</v>
      </c>
      <c r="G32" s="460" t="s">
        <v>807</v>
      </c>
      <c r="H32" s="454" t="s">
        <v>808</v>
      </c>
      <c r="I32" s="454" t="str">
        <f t="shared" si="2"/>
        <v>[fr]6. Gruppen-Stern</v>
      </c>
      <c r="J32" s="454" t="str">
        <f t="shared" si="4"/>
        <v>[pt]6. Gruppen-Stern</v>
      </c>
      <c r="K32" s="454" t="str">
        <f t="shared" si="3"/>
        <v>[gr]6. Gruppen-Stern</v>
      </c>
    </row>
    <row r="33" spans="2:11" ht="15.75" customHeight="1">
      <c r="B33" s="466"/>
      <c r="C33" s="466"/>
      <c r="D33" s="453" t="str">
        <f t="shared" si="0"/>
        <v>7. Themen-Stern</v>
      </c>
      <c r="E33" s="454" t="s">
        <v>809</v>
      </c>
      <c r="F33" s="454" t="s">
        <v>810</v>
      </c>
      <c r="G33" s="460" t="s">
        <v>811</v>
      </c>
      <c r="H33" s="454" t="s">
        <v>812</v>
      </c>
      <c r="I33" s="454" t="str">
        <f t="shared" si="2"/>
        <v>[fr]7. Themen-Stern</v>
      </c>
      <c r="J33" s="454" t="str">
        <f t="shared" si="4"/>
        <v>[pt]7. Themen-Stern</v>
      </c>
      <c r="K33" s="454" t="str">
        <f t="shared" si="3"/>
        <v>[gr]7. Themen-Stern</v>
      </c>
    </row>
    <row r="34" spans="2:11" ht="15.75" customHeight="1">
      <c r="B34" s="466"/>
      <c r="C34" s="466"/>
      <c r="D34" s="453" t="str">
        <f t="shared" si="0"/>
        <v>8. Beschreibung Gewichtungsmodell</v>
      </c>
      <c r="E34" s="454" t="s">
        <v>813</v>
      </c>
      <c r="F34" s="454" t="s">
        <v>814</v>
      </c>
      <c r="G34" s="460" t="s">
        <v>815</v>
      </c>
      <c r="H34" s="454" t="s">
        <v>816</v>
      </c>
      <c r="I34" s="454" t="str">
        <f t="shared" si="2"/>
        <v>[fr]8. Beschreibung Gewichtungsmodell</v>
      </c>
      <c r="J34" s="454" t="str">
        <f t="shared" si="4"/>
        <v>[pt]8. Beschreibung Gewichtungsmodell</v>
      </c>
      <c r="K34" s="454" t="str">
        <f t="shared" si="3"/>
        <v>[gr]8. Beschreibung Gewichtungsmodell</v>
      </c>
    </row>
    <row r="35" spans="2:11" ht="15.75" customHeight="1">
      <c r="B35" s="466"/>
      <c r="C35" s="466"/>
      <c r="D35" s="453" t="str">
        <f t="shared" si="0"/>
        <v>9. Gewichtung (ausgeblendet)</v>
      </c>
      <c r="E35" s="454" t="s">
        <v>817</v>
      </c>
      <c r="F35" s="454" t="s">
        <v>818</v>
      </c>
      <c r="G35" s="460" t="s">
        <v>819</v>
      </c>
      <c r="H35" s="454" t="s">
        <v>820</v>
      </c>
      <c r="I35" s="454" t="str">
        <f t="shared" si="2"/>
        <v>[fr]9. Gewichtung (ausgeblendet)</v>
      </c>
      <c r="J35" s="454" t="str">
        <f t="shared" si="4"/>
        <v>[pt]9. Gewichtung (ausgeblendet)</v>
      </c>
      <c r="K35" s="454" t="str">
        <f t="shared" si="3"/>
        <v>[gr]9. Gewichtung (ausgeblendet)</v>
      </c>
    </row>
    <row r="36" spans="2:11" ht="15.75" customHeight="1">
      <c r="B36" s="466"/>
      <c r="C36" s="466"/>
      <c r="D36" s="453" t="str">
        <f t="shared" si="0"/>
        <v>10. Branchen (ausgeblendet)</v>
      </c>
      <c r="E36" s="454" t="s">
        <v>821</v>
      </c>
      <c r="F36" s="454" t="s">
        <v>822</v>
      </c>
      <c r="G36" s="460" t="s">
        <v>823</v>
      </c>
      <c r="H36" s="454" t="s">
        <v>824</v>
      </c>
      <c r="I36" s="454" t="str">
        <f t="shared" si="2"/>
        <v>[fr]10. Branchen (ausgeblendet)</v>
      </c>
      <c r="J36" s="454" t="str">
        <f t="shared" si="4"/>
        <v>[pt]10. Branchen (ausgeblendet)</v>
      </c>
      <c r="K36" s="454" t="str">
        <f t="shared" si="3"/>
        <v>[gr]10. Branchen (ausgeblendet)</v>
      </c>
    </row>
    <row r="37" spans="2:11" ht="15.75" customHeight="1">
      <c r="B37" s="466"/>
      <c r="C37" s="466"/>
      <c r="D37" s="453" t="str">
        <f t="shared" si="0"/>
        <v>11. Länder und Regionen (ausgeblendet)</v>
      </c>
      <c r="E37" s="454" t="s">
        <v>825</v>
      </c>
      <c r="F37" s="454" t="s">
        <v>826</v>
      </c>
      <c r="G37" s="460" t="s">
        <v>827</v>
      </c>
      <c r="H37" s="454" t="s">
        <v>828</v>
      </c>
      <c r="I37" s="454" t="str">
        <f t="shared" si="2"/>
        <v>[fr]11. Länder und Regionen (ausgeblendet)</v>
      </c>
      <c r="J37" s="454" t="str">
        <f t="shared" si="4"/>
        <v>[pt]11. Länder und Regionen (ausgeblendet)</v>
      </c>
      <c r="K37" s="454" t="str">
        <f t="shared" si="3"/>
        <v>[gr]11. Länder und Regionen (ausgeblendet)</v>
      </c>
    </row>
    <row r="38" spans="2:11" ht="15.75" customHeight="1">
      <c r="B38" s="466"/>
      <c r="C38" s="466"/>
      <c r="D38" s="453"/>
      <c r="E38" s="454"/>
      <c r="G38" s="460"/>
      <c r="H38" s="454"/>
      <c r="I38" s="454"/>
      <c r="J38" s="454"/>
      <c r="K38" s="454"/>
    </row>
    <row r="39" spans="2:11" ht="15.75" customHeight="1">
      <c r="B39" s="466"/>
      <c r="C39" s="466"/>
      <c r="D39" s="453">
        <f t="shared" ref="D39:D293" si="5">HLOOKUP($C$1,$E$1:$X$4910,ROW(D39))</f>
        <v>0</v>
      </c>
      <c r="E39" s="454"/>
      <c r="G39" s="460"/>
      <c r="H39" s="454"/>
      <c r="I39" s="454"/>
      <c r="J39" s="454"/>
      <c r="K39" s="454"/>
    </row>
    <row r="40" spans="2:11" ht="15.75" customHeight="1">
      <c r="B40" s="466"/>
      <c r="C40" s="466"/>
      <c r="D40" s="453" t="str">
        <f t="shared" si="5"/>
        <v>LEGENDE</v>
      </c>
      <c r="E40" s="454" t="s">
        <v>829</v>
      </c>
      <c r="F40" s="454" t="s">
        <v>830</v>
      </c>
      <c r="G40" s="460" t="s">
        <v>831</v>
      </c>
      <c r="H40" s="454" t="s">
        <v>832</v>
      </c>
      <c r="I40" s="454" t="str">
        <f>"[fr]"&amp;E40</f>
        <v>[fr]LEGENDE</v>
      </c>
      <c r="J40" s="454" t="str">
        <f>"[pt]"&amp;E40</f>
        <v>[pt]LEGENDE</v>
      </c>
      <c r="K40" s="454" t="str">
        <f>"[gr]"&amp;E40</f>
        <v>[gr]LEGENDE</v>
      </c>
    </row>
    <row r="41" spans="2:11" ht="28.5" customHeight="1">
      <c r="B41" s="466"/>
      <c r="C41" s="466"/>
      <c r="D41" s="453" t="str">
        <f t="shared" si="5"/>
        <v>Feld ist beschreibbar (grüner Rahmen, dunkelgrüne Schrift)</v>
      </c>
      <c r="E41" s="454" t="s">
        <v>833</v>
      </c>
      <c r="F41" s="454" t="s">
        <v>834</v>
      </c>
      <c r="G41" s="460" t="s">
        <v>835</v>
      </c>
      <c r="H41" s="454" t="s">
        <v>836</v>
      </c>
      <c r="I41" s="454" t="str">
        <f>"[fr]"&amp;E41</f>
        <v>[fr]Feld ist beschreibbar (grüner Rahmen, dunkelgrüne Schrift)</v>
      </c>
      <c r="J41" s="454" t="str">
        <f>"[pt]"&amp;E41</f>
        <v>[pt]Feld ist beschreibbar (grüner Rahmen, dunkelgrüne Schrift)</v>
      </c>
      <c r="K41" s="454" t="str">
        <f>"[gr]"&amp;E41</f>
        <v>[gr]Feld ist beschreibbar (grüner Rahmen, dunkelgrüne Schrift)</v>
      </c>
    </row>
    <row r="42" spans="2:11" ht="28.5" customHeight="1">
      <c r="B42" s="466"/>
      <c r="C42" s="466"/>
      <c r="D42" s="453" t="str">
        <f t="shared" si="5"/>
        <v>Feld ist nicht beschreibbar (grauer Rahmen, dunkelgraue Schrift)</v>
      </c>
      <c r="E42" s="454" t="s">
        <v>837</v>
      </c>
      <c r="F42" s="454" t="s">
        <v>838</v>
      </c>
      <c r="G42" s="460" t="s">
        <v>839</v>
      </c>
      <c r="H42" s="454" t="s">
        <v>840</v>
      </c>
      <c r="I42" s="454" t="str">
        <f>"[fr]"&amp;E42</f>
        <v>[fr]Feld ist nicht beschreibbar (grauer Rahmen, dunkelgraue Schrift)</v>
      </c>
      <c r="J42" s="454" t="str">
        <f>"[pt]"&amp;E42</f>
        <v>[pt]Feld ist nicht beschreibbar (grauer Rahmen, dunkelgraue Schrift)</v>
      </c>
      <c r="K42" s="454" t="str">
        <f>"[gr]"&amp;E42</f>
        <v>[gr]Feld ist nicht beschreibbar (grauer Rahmen, dunkelgraue Schrift)</v>
      </c>
    </row>
    <row r="43" spans="2:11" ht="26.85" customHeight="1">
      <c r="B43" s="466"/>
      <c r="C43" s="466"/>
      <c r="D43" s="453" t="str">
        <f t="shared" si="5"/>
        <v>unerlaubter Wert eingegeben (zur korrekten Berechnung Wert ändern)</v>
      </c>
      <c r="E43" s="454" t="s">
        <v>841</v>
      </c>
      <c r="F43" s="454" t="s">
        <v>842</v>
      </c>
      <c r="G43" s="460" t="s">
        <v>843</v>
      </c>
      <c r="H43" s="454" t="s">
        <v>844</v>
      </c>
      <c r="I43" s="454" t="str">
        <f>"[fr]"&amp;E43</f>
        <v>[fr]unerlaubter Wert eingegeben (zur korrekten Berechnung Wert ändern)</v>
      </c>
      <c r="J43" s="454" t="str">
        <f>"[pt]"&amp;E43</f>
        <v>[pt]unerlaubter Wert eingegeben (zur korrekten Berechnung Wert ändern)</v>
      </c>
      <c r="K43" s="454" t="str">
        <f>"[gr]"&amp;E43</f>
        <v>[gr]unerlaubter Wert eingegeben (zur korrekten Berechnung Wert ändern)</v>
      </c>
    </row>
    <row r="44" spans="2:11" ht="26.85" customHeight="1">
      <c r="B44" s="466"/>
      <c r="C44" s="466"/>
      <c r="D44" s="453" t="str">
        <f t="shared" si="5"/>
        <v>fehlerhafte Eingabe</v>
      </c>
      <c r="E44" s="469" t="s">
        <v>3197</v>
      </c>
      <c r="F44" s="469" t="s">
        <v>3197</v>
      </c>
      <c r="G44" s="470" t="s">
        <v>3198</v>
      </c>
      <c r="H44" s="469" t="s">
        <v>3199</v>
      </c>
      <c r="I44" s="454" t="str">
        <f>"[fr]"&amp;E44</f>
        <v>[fr]fehlerhafte Eingabe</v>
      </c>
      <c r="J44" s="454" t="str">
        <f>"[pt]"&amp;E44</f>
        <v>[pt]fehlerhafte Eingabe</v>
      </c>
      <c r="K44" s="454" t="str">
        <f>"[gr]"&amp;E44</f>
        <v>[gr]fehlerhafte Eingabe</v>
      </c>
    </row>
    <row r="45" spans="2:11" ht="44.1" customHeight="1">
      <c r="B45" s="466"/>
      <c r="C45" s="466"/>
      <c r="D45" s="453">
        <f t="shared" si="5"/>
        <v>0</v>
      </c>
      <c r="E45" s="454"/>
      <c r="G45" s="460"/>
      <c r="H45" s="454"/>
      <c r="I45" s="454"/>
      <c r="J45" s="454"/>
      <c r="K45" s="454"/>
    </row>
    <row r="46" spans="2:11" ht="26.85" customHeight="1">
      <c r="B46" s="466"/>
      <c r="C46" s="466"/>
      <c r="D46" s="453">
        <f t="shared" si="5"/>
        <v>0</v>
      </c>
      <c r="E46" s="454"/>
      <c r="G46" s="460"/>
      <c r="H46" s="454"/>
      <c r="I46" s="454"/>
      <c r="J46" s="454"/>
      <c r="K46" s="454"/>
    </row>
    <row r="47" spans="2:11" ht="38.25" customHeight="1">
      <c r="B47" s="466"/>
      <c r="C47" s="466"/>
      <c r="D47" s="453">
        <f t="shared" si="5"/>
        <v>0</v>
      </c>
      <c r="E47" s="454"/>
      <c r="G47" s="460"/>
      <c r="H47" s="454"/>
      <c r="I47" s="454"/>
      <c r="J47" s="454"/>
      <c r="K47" s="454"/>
    </row>
    <row r="48" spans="2:11" ht="26.85" customHeight="1">
      <c r="B48" s="466"/>
      <c r="C48" s="466"/>
      <c r="D48" s="453">
        <f t="shared" si="5"/>
        <v>0</v>
      </c>
      <c r="E48" s="454"/>
      <c r="G48" s="460"/>
      <c r="H48" s="454"/>
      <c r="I48" s="454"/>
      <c r="J48" s="454"/>
      <c r="K48" s="454"/>
    </row>
    <row r="49" spans="2:11" ht="26.85" customHeight="1">
      <c r="B49" s="466"/>
      <c r="C49" s="466"/>
      <c r="D49" s="453">
        <f t="shared" si="5"/>
        <v>0</v>
      </c>
      <c r="E49" s="454"/>
      <c r="G49" s="460"/>
      <c r="H49" s="454"/>
      <c r="I49" s="454"/>
      <c r="J49" s="454"/>
      <c r="K49" s="454"/>
    </row>
    <row r="50" spans="2:11" ht="26.85" customHeight="1">
      <c r="B50" s="466"/>
      <c r="C50" s="466"/>
      <c r="D50" s="453">
        <f t="shared" si="5"/>
        <v>0</v>
      </c>
      <c r="E50" s="454"/>
      <c r="G50" s="460"/>
      <c r="H50" s="454"/>
      <c r="I50" s="454"/>
      <c r="J50" s="454"/>
      <c r="K50" s="454"/>
    </row>
    <row r="51" spans="2:11" ht="26.85" customHeight="1">
      <c r="B51" s="466"/>
      <c r="C51" s="466"/>
      <c r="D51" s="453">
        <f t="shared" si="5"/>
        <v>0</v>
      </c>
      <c r="E51" s="454"/>
      <c r="G51" s="460"/>
      <c r="H51" s="454"/>
      <c r="I51" s="454"/>
      <c r="J51" s="454"/>
      <c r="K51" s="454"/>
    </row>
    <row r="52" spans="2:11" ht="26.85" customHeight="1">
      <c r="B52" s="466"/>
      <c r="C52" s="466"/>
      <c r="D52" s="453" t="str">
        <f t="shared" si="5"/>
        <v>ja</v>
      </c>
      <c r="E52" s="454" t="s">
        <v>845</v>
      </c>
      <c r="F52" s="454" t="s">
        <v>846</v>
      </c>
      <c r="G52" s="460" t="s">
        <v>847</v>
      </c>
      <c r="H52" s="454" t="s">
        <v>848</v>
      </c>
      <c r="I52" s="454" t="str">
        <f>"[fr]"&amp;E52</f>
        <v>[fr]ja</v>
      </c>
      <c r="J52" s="454" t="str">
        <f>"[pt]"&amp;E52</f>
        <v>[pt]ja</v>
      </c>
      <c r="K52" s="454" t="str">
        <f t="shared" ref="K52:K83" si="6">"[gr]"&amp;E52</f>
        <v>[gr]ja</v>
      </c>
    </row>
    <row r="53" spans="2:11" ht="26.85" customHeight="1">
      <c r="B53" s="466"/>
      <c r="C53" s="466"/>
      <c r="D53" s="453" t="str">
        <f t="shared" si="5"/>
        <v>nein</v>
      </c>
      <c r="E53" s="454" t="s">
        <v>849</v>
      </c>
      <c r="F53" s="454" t="s">
        <v>850</v>
      </c>
      <c r="G53" s="460" t="s">
        <v>850</v>
      </c>
      <c r="H53" s="454" t="s">
        <v>851</v>
      </c>
      <c r="I53" s="454" t="s">
        <v>852</v>
      </c>
      <c r="J53" s="454" t="s">
        <v>853</v>
      </c>
      <c r="K53" s="454" t="str">
        <f t="shared" si="6"/>
        <v>[gr]nein</v>
      </c>
    </row>
    <row r="54" spans="2:11" ht="15.75" customHeight="1">
      <c r="D54" s="453" t="str">
        <f t="shared" si="5"/>
        <v>KONTAKT</v>
      </c>
      <c r="E54" s="454" t="s">
        <v>854</v>
      </c>
      <c r="F54" s="454" t="s">
        <v>855</v>
      </c>
      <c r="G54" s="460" t="s">
        <v>856</v>
      </c>
      <c r="H54" s="454" t="s">
        <v>857</v>
      </c>
      <c r="I54" s="454" t="str">
        <f t="shared" ref="I54:I83" si="7">"[fr]"&amp;E54</f>
        <v>[fr]KONTAKT</v>
      </c>
      <c r="J54" s="454" t="str">
        <f t="shared" ref="J54:J81" si="8">"[pt]"&amp;E54</f>
        <v>[pt]KONTAKT</v>
      </c>
      <c r="K54" s="454" t="str">
        <f t="shared" si="6"/>
        <v>[gr]KONTAKT</v>
      </c>
    </row>
    <row r="55" spans="2:11" ht="41.85" customHeight="1">
      <c r="D55" s="453" t="str">
        <f t="shared" si="5"/>
        <v>Fragen zur Bilanz-Erstellung: beratung@gemeinwohl-oekonomie.org (GWÖ-BeraterInnen);</v>
      </c>
      <c r="E55" s="454" t="s">
        <v>858</v>
      </c>
      <c r="F55" s="454" t="s">
        <v>859</v>
      </c>
      <c r="G55" s="460" t="s">
        <v>860</v>
      </c>
      <c r="H55" s="454" t="s">
        <v>861</v>
      </c>
      <c r="I55" s="454" t="str">
        <f t="shared" si="7"/>
        <v>[fr]Fragen zur Bilanz-Erstellung: beratung@gemeinwohl-oekonomie.org (GWÖ-BeraterInnen);</v>
      </c>
      <c r="J55" s="454" t="str">
        <f t="shared" si="8"/>
        <v>[pt]Fragen zur Bilanz-Erstellung: beratung@gemeinwohl-oekonomie.org (GWÖ-BeraterInnen);</v>
      </c>
      <c r="K55" s="454" t="str">
        <f t="shared" si="6"/>
        <v>[gr]Fragen zur Bilanz-Erstellung: beratung@gemeinwohl-oekonomie.org (GWÖ-BeraterInnen);</v>
      </c>
    </row>
    <row r="56" spans="2:11" ht="28.5" customHeight="1">
      <c r="D56" s="453" t="str">
        <f t="shared" si="5"/>
        <v>Fragen zur Auditierung: audit@gemeinwohl-oekonomie.org (GWÖ-AuditorInnen);</v>
      </c>
      <c r="E56" s="454" t="s">
        <v>862</v>
      </c>
      <c r="F56" s="471" t="s">
        <v>863</v>
      </c>
      <c r="G56" s="460" t="s">
        <v>864</v>
      </c>
      <c r="H56" s="454" t="s">
        <v>865</v>
      </c>
      <c r="I56" s="454" t="str">
        <f t="shared" si="7"/>
        <v>[fr]Fragen zur Auditierung: audit@gemeinwohl-oekonomie.org (GWÖ-AuditorInnen);</v>
      </c>
      <c r="J56" s="454" t="str">
        <f t="shared" si="8"/>
        <v>[pt]Fragen zur Auditierung: audit@gemeinwohl-oekonomie.org (GWÖ-AuditorInnen);</v>
      </c>
      <c r="K56" s="454" t="str">
        <f t="shared" si="6"/>
        <v>[gr]Fragen zur Auditierung: audit@gemeinwohl-oekonomie.org (GWÖ-AuditorInnen);</v>
      </c>
    </row>
    <row r="57" spans="2:11" ht="41.85" customHeight="1">
      <c r="D57" s="453" t="str">
        <f t="shared" si="5"/>
        <v>Weiterentwicklung der Matrix: bilanz@ecogood.org (GWÖ-Matrix Entwicklungsteam);</v>
      </c>
      <c r="E57" s="454" t="s">
        <v>866</v>
      </c>
      <c r="F57" s="454" t="str">
        <f>"[it]"&amp;E57</f>
        <v>[it]Weiterentwicklung der Matrix: bilanz@ecogood.org (GWÖ-Matrix Entwicklungsteam);</v>
      </c>
      <c r="G57" s="460" t="s">
        <v>867</v>
      </c>
      <c r="H57" s="454" t="s">
        <v>868</v>
      </c>
      <c r="I57" s="454" t="str">
        <f t="shared" si="7"/>
        <v>[fr]Weiterentwicklung der Matrix: bilanz@ecogood.org (GWÖ-Matrix Entwicklungsteam);</v>
      </c>
      <c r="J57" s="454" t="str">
        <f t="shared" si="8"/>
        <v>[pt]Weiterentwicklung der Matrix: bilanz@ecogood.org (GWÖ-Matrix Entwicklungsteam);</v>
      </c>
      <c r="K57" s="454" t="str">
        <f t="shared" si="6"/>
        <v>[gr]Weiterentwicklung der Matrix: bilanz@ecogood.org (GWÖ-Matrix Entwicklungsteam);</v>
      </c>
    </row>
    <row r="58" spans="2:11" ht="79.349999999999994" customHeight="1">
      <c r="D58" s="453" t="str">
        <f t="shared" si="5"/>
        <v>Excel-Programmierung: Christian Loy (christian.loy@gmx.at); Christian Kozina; Multilanguage-tool: Bernhard Oberrauch</v>
      </c>
      <c r="E58" s="472" t="s">
        <v>869</v>
      </c>
      <c r="F58" s="454" t="s">
        <v>870</v>
      </c>
      <c r="G58" s="460" t="s">
        <v>871</v>
      </c>
      <c r="H58" s="454" t="s">
        <v>872</v>
      </c>
      <c r="I58" s="454" t="str">
        <f t="shared" si="7"/>
        <v>[fr]Excel-Programmierung: Christian Loy (christian.loy@gmx.at); Christian Kozina; Multilanguage-tool: Bernhard Oberrauch</v>
      </c>
      <c r="J58" s="454" t="str">
        <f t="shared" si="8"/>
        <v>[pt]Excel-Programmierung: Christian Loy (christian.loy@gmx.at); Christian Kozina; Multilanguage-tool: Bernhard Oberrauch</v>
      </c>
      <c r="K58" s="454" t="str">
        <f t="shared" si="6"/>
        <v>[gr]Excel-Programmierung: Christian Loy (christian.loy@gmx.at); Christian Kozina; Multilanguage-tool: Bernhard Oberrauch</v>
      </c>
    </row>
    <row r="59" spans="2:11" ht="15.75" customHeight="1">
      <c r="D59" s="453" t="str">
        <f t="shared" si="5"/>
        <v>Inhalte: GWÖ-Matrix Entwicklungsteam</v>
      </c>
      <c r="E59" s="454" t="s">
        <v>873</v>
      </c>
      <c r="F59" s="454" t="str">
        <f>"[it]"&amp;E59</f>
        <v>[it]Inhalte: GWÖ-Matrix Entwicklungsteam</v>
      </c>
      <c r="G59" s="460" t="s">
        <v>874</v>
      </c>
      <c r="H59" s="454" t="s">
        <v>875</v>
      </c>
      <c r="I59" s="454" t="str">
        <f t="shared" si="7"/>
        <v>[fr]Inhalte: GWÖ-Matrix Entwicklungsteam</v>
      </c>
      <c r="J59" s="454" t="str">
        <f t="shared" si="8"/>
        <v>[pt]Inhalte: GWÖ-Matrix Entwicklungsteam</v>
      </c>
      <c r="K59" s="454" t="str">
        <f t="shared" si="6"/>
        <v>[gr]Inhalte: GWÖ-Matrix Entwicklungsteam</v>
      </c>
    </row>
    <row r="60" spans="2:11" ht="15.75" customHeight="1">
      <c r="D60" s="453" t="str">
        <f t="shared" si="5"/>
        <v>ANMERKUNGEN</v>
      </c>
      <c r="E60" s="454" t="s">
        <v>876</v>
      </c>
      <c r="F60" s="454" t="s">
        <v>877</v>
      </c>
      <c r="G60" s="460" t="s">
        <v>878</v>
      </c>
      <c r="H60" s="454" t="s">
        <v>879</v>
      </c>
      <c r="I60" s="454" t="str">
        <f t="shared" si="7"/>
        <v>[fr]ANMERKUNGEN</v>
      </c>
      <c r="J60" s="454" t="str">
        <f t="shared" si="8"/>
        <v>[pt]ANMERKUNGEN</v>
      </c>
      <c r="K60" s="454" t="str">
        <f t="shared" si="6"/>
        <v>[gr]ANMERKUNGEN</v>
      </c>
    </row>
    <row r="61" spans="2:11" ht="68.25" customHeight="1">
      <c r="D61" s="453" t="str">
        <f t="shared" si="5"/>
        <v>Alle Tabellen sind optimiert für den Ausdruck auf A4 (Hoch- oder Querformat).
Die Höhe der Zeilen ist veränderbar, falls Sie mehr Text eingeben wollen.</v>
      </c>
      <c r="E61" s="454" t="s">
        <v>880</v>
      </c>
      <c r="F61" s="454" t="s">
        <v>881</v>
      </c>
      <c r="G61" s="460" t="s">
        <v>882</v>
      </c>
      <c r="H61" s="454" t="s">
        <v>883</v>
      </c>
      <c r="I61" s="454" t="str">
        <f t="shared" si="7"/>
        <v>[fr]Alle Tabellen sind optimiert für den Ausdruck auf A4 (Hoch- oder Querformat).
Die Höhe der Zeilen ist veränderbar, falls Sie mehr Text eingeben wollen.</v>
      </c>
      <c r="J61" s="454" t="str">
        <f t="shared" si="8"/>
        <v>[pt]Alle Tabellen sind optimiert für den Ausdruck auf A4 (Hoch- oder Querformat).
Die Höhe der Zeilen ist veränderbar, falls Sie mehr Text eingeben wollen.</v>
      </c>
      <c r="K61" s="454" t="str">
        <f t="shared" si="6"/>
        <v>[gr]Alle Tabellen sind optimiert für den Ausdruck auf A4 (Hoch- oder Querformat).
Die Höhe der Zeilen ist veränderbar, falls Sie mehr Text eingeben wollen.</v>
      </c>
    </row>
    <row r="62" spans="2:11" ht="15.75" customHeight="1">
      <c r="D62" s="453" t="str">
        <f t="shared" si="5"/>
        <v>ALLGEMEINE ANGABEN ZUM UNTERNEHMEN</v>
      </c>
      <c r="E62" s="454" t="s">
        <v>884</v>
      </c>
      <c r="F62" s="454" t="s">
        <v>885</v>
      </c>
      <c r="G62" s="460" t="s">
        <v>886</v>
      </c>
      <c r="H62" s="454" t="s">
        <v>887</v>
      </c>
      <c r="I62" s="454" t="str">
        <f t="shared" si="7"/>
        <v>[fr]ALLGEMEINE ANGABEN ZUM UNTERNEHMEN</v>
      </c>
      <c r="J62" s="454" t="str">
        <f t="shared" si="8"/>
        <v>[pt]ALLGEMEINE ANGABEN ZUM UNTERNEHMEN</v>
      </c>
      <c r="K62" s="454" t="str">
        <f t="shared" si="6"/>
        <v>[gr]ALLGEMEINE ANGABEN ZUM UNTERNEHMEN</v>
      </c>
    </row>
    <row r="63" spans="2:11" ht="15.75" customHeight="1">
      <c r="D63" s="453" t="str">
        <f t="shared" si="5"/>
        <v>Bitte vollständig ausfüllen!</v>
      </c>
      <c r="E63" s="454" t="s">
        <v>888</v>
      </c>
      <c r="F63" s="454" t="s">
        <v>889</v>
      </c>
      <c r="G63" s="460" t="s">
        <v>890</v>
      </c>
      <c r="H63" s="454" t="s">
        <v>891</v>
      </c>
      <c r="I63" s="454" t="str">
        <f t="shared" si="7"/>
        <v>[fr]Bitte vollständig ausfüllen!</v>
      </c>
      <c r="J63" s="454" t="str">
        <f t="shared" si="8"/>
        <v>[pt]Bitte vollständig ausfüllen!</v>
      </c>
      <c r="K63" s="454" t="str">
        <f t="shared" si="6"/>
        <v>[gr]Bitte vollständig ausfüllen!</v>
      </c>
    </row>
    <row r="64" spans="2:11" ht="15.75" customHeight="1">
      <c r="D64" s="453" t="str">
        <f t="shared" si="5"/>
        <v>Name des Unternehmens:</v>
      </c>
      <c r="E64" s="454" t="s">
        <v>892</v>
      </c>
      <c r="F64" s="454" t="s">
        <v>893</v>
      </c>
      <c r="G64" s="460" t="s">
        <v>894</v>
      </c>
      <c r="H64" s="454" t="s">
        <v>895</v>
      </c>
      <c r="I64" s="454" t="str">
        <f t="shared" si="7"/>
        <v>[fr]Name des Unternehmens:</v>
      </c>
      <c r="J64" s="454" t="str">
        <f t="shared" si="8"/>
        <v>[pt]Name des Unternehmens:</v>
      </c>
      <c r="K64" s="454" t="str">
        <f t="shared" si="6"/>
        <v>[gr]Name des Unternehmens:</v>
      </c>
    </row>
    <row r="65" spans="4:11" ht="15.75" customHeight="1">
      <c r="D65" s="453" t="str">
        <f t="shared" si="5"/>
        <v>Anschrift:</v>
      </c>
      <c r="E65" s="454" t="s">
        <v>896</v>
      </c>
      <c r="F65" s="454" t="s">
        <v>897</v>
      </c>
      <c r="G65" s="460" t="s">
        <v>898</v>
      </c>
      <c r="H65" s="454" t="s">
        <v>899</v>
      </c>
      <c r="I65" s="454" t="str">
        <f t="shared" si="7"/>
        <v>[fr]Anschrift:</v>
      </c>
      <c r="J65" s="454" t="str">
        <f t="shared" si="8"/>
        <v>[pt]Anschrift:</v>
      </c>
      <c r="K65" s="454" t="str">
        <f t="shared" si="6"/>
        <v>[gr]Anschrift:</v>
      </c>
    </row>
    <row r="66" spans="4:11" ht="15.75" customHeight="1">
      <c r="D66" s="453" t="str">
        <f t="shared" si="5"/>
        <v>Staat:</v>
      </c>
      <c r="E66" s="454" t="s">
        <v>900</v>
      </c>
      <c r="F66" s="454" t="s">
        <v>901</v>
      </c>
      <c r="G66" s="460" t="s">
        <v>902</v>
      </c>
      <c r="H66" s="454" t="s">
        <v>903</v>
      </c>
      <c r="I66" s="454" t="str">
        <f t="shared" si="7"/>
        <v>[fr]Staat:</v>
      </c>
      <c r="J66" s="454" t="str">
        <f t="shared" si="8"/>
        <v>[pt]Staat:</v>
      </c>
      <c r="K66" s="454" t="str">
        <f t="shared" si="6"/>
        <v>[gr]Staat:</v>
      </c>
    </row>
    <row r="67" spans="4:11" ht="15.75" customHeight="1">
      <c r="D67" s="453" t="str">
        <f t="shared" si="5"/>
        <v>Branche:</v>
      </c>
      <c r="E67" s="454" t="s">
        <v>904</v>
      </c>
      <c r="F67" s="454" t="s">
        <v>905</v>
      </c>
      <c r="G67" s="460" t="s">
        <v>906</v>
      </c>
      <c r="H67" s="454" t="s">
        <v>907</v>
      </c>
      <c r="I67" s="454" t="str">
        <f t="shared" si="7"/>
        <v>[fr]Branche:</v>
      </c>
      <c r="J67" s="454" t="str">
        <f t="shared" si="8"/>
        <v>[pt]Branche:</v>
      </c>
      <c r="K67" s="454" t="str">
        <f t="shared" si="6"/>
        <v>[gr]Branche:</v>
      </c>
    </row>
    <row r="68" spans="4:11" ht="15.75" customHeight="1">
      <c r="D68" s="453" t="str">
        <f t="shared" si="5"/>
        <v>Website:</v>
      </c>
      <c r="E68" s="454" t="s">
        <v>908</v>
      </c>
      <c r="F68" s="454" t="s">
        <v>909</v>
      </c>
      <c r="G68" s="460" t="s">
        <v>908</v>
      </c>
      <c r="H68" s="454" t="s">
        <v>910</v>
      </c>
      <c r="I68" s="454" t="str">
        <f t="shared" si="7"/>
        <v>[fr]Website:</v>
      </c>
      <c r="J68" s="454" t="str">
        <f t="shared" si="8"/>
        <v>[pt]Website:</v>
      </c>
      <c r="K68" s="454" t="str">
        <f t="shared" si="6"/>
        <v>[gr]Website:</v>
      </c>
    </row>
    <row r="69" spans="4:11" ht="15.75" customHeight="1">
      <c r="D69" s="453" t="str">
        <f t="shared" si="5"/>
        <v>Anzahl der MitarbeiterInnen:</v>
      </c>
      <c r="E69" s="454" t="s">
        <v>911</v>
      </c>
      <c r="F69" s="454" t="s">
        <v>912</v>
      </c>
      <c r="G69" s="460" t="s">
        <v>913</v>
      </c>
      <c r="H69" s="454" t="s">
        <v>914</v>
      </c>
      <c r="I69" s="454" t="str">
        <f t="shared" si="7"/>
        <v>[fr]Anzahl der MitarbeiterInnen:</v>
      </c>
      <c r="J69" s="454" t="str">
        <f t="shared" si="8"/>
        <v>[pt]Anzahl der MitarbeiterInnen:</v>
      </c>
      <c r="K69" s="454" t="str">
        <f t="shared" si="6"/>
        <v>[gr]Anzahl der MitarbeiterInnen:</v>
      </c>
    </row>
    <row r="70" spans="4:11" ht="15.75" customHeight="1">
      <c r="D70" s="453" t="str">
        <f t="shared" si="5"/>
        <v>Ein-Personen-Unternehmen:</v>
      </c>
      <c r="E70" s="454" t="s">
        <v>915</v>
      </c>
      <c r="F70" s="454" t="s">
        <v>916</v>
      </c>
      <c r="G70" s="460" t="s">
        <v>917</v>
      </c>
      <c r="H70" s="454" t="s">
        <v>918</v>
      </c>
      <c r="I70" s="454" t="str">
        <f t="shared" si="7"/>
        <v>[fr]Ein-Personen-Unternehmen:</v>
      </c>
      <c r="J70" s="454" t="str">
        <f t="shared" si="8"/>
        <v>[pt]Ein-Personen-Unternehmen:</v>
      </c>
      <c r="K70" s="454" t="str">
        <f t="shared" si="6"/>
        <v>[gr]Ein-Personen-Unternehmen:</v>
      </c>
    </row>
    <row r="71" spans="4:11" ht="41.85" customHeight="1">
      <c r="D71" s="453" t="str">
        <f t="shared" si="5"/>
        <v>(Hinweis: Wenn ja, werden die für EPUs gültigen Werte automatisch in die Berechnung übernommen.)</v>
      </c>
      <c r="E71" s="454" t="s">
        <v>919</v>
      </c>
      <c r="F71" s="454" t="s">
        <v>920</v>
      </c>
      <c r="G71" s="460" t="s">
        <v>921</v>
      </c>
      <c r="H71" s="454" t="s">
        <v>922</v>
      </c>
      <c r="I71" s="454" t="str">
        <f t="shared" si="7"/>
        <v>[fr](Hinweis: Wenn ja, werden die für EPUs gültigen Werte automatisch in die Berechnung übernommen.)</v>
      </c>
      <c r="J71" s="454" t="str">
        <f t="shared" si="8"/>
        <v>[pt](Hinweis: Wenn ja, werden die für EPUs gültigen Werte automatisch in die Berechnung übernommen.)</v>
      </c>
      <c r="K71" s="454" t="str">
        <f t="shared" si="6"/>
        <v>[gr](Hinweis: Wenn ja, werden die für EPUs gültigen Werte automatisch in die Berechnung übernommen.)</v>
      </c>
    </row>
    <row r="72" spans="4:11" ht="15.75" customHeight="1">
      <c r="D72" s="453" t="str">
        <f t="shared" si="5"/>
        <v>Bilanzjahr:</v>
      </c>
      <c r="E72" s="454" t="s">
        <v>923</v>
      </c>
      <c r="F72" s="454" t="s">
        <v>924</v>
      </c>
      <c r="G72" s="460" t="s">
        <v>925</v>
      </c>
      <c r="H72" s="454" t="s">
        <v>926</v>
      </c>
      <c r="I72" s="454" t="str">
        <f t="shared" si="7"/>
        <v>[fr]Bilanzjahr:</v>
      </c>
      <c r="J72" s="454" t="str">
        <f t="shared" si="8"/>
        <v>[pt]Bilanzjahr:</v>
      </c>
      <c r="K72" s="454" t="str">
        <f t="shared" si="6"/>
        <v>[gr]Bilanzjahr:</v>
      </c>
    </row>
    <row r="73" spans="4:11" ht="15.75" customHeight="1">
      <c r="D73" s="453" t="str">
        <f t="shared" si="5"/>
        <v>ErstellerIn:</v>
      </c>
      <c r="E73" s="454" t="s">
        <v>927</v>
      </c>
      <c r="F73" s="454" t="s">
        <v>928</v>
      </c>
      <c r="G73" s="460" t="s">
        <v>929</v>
      </c>
      <c r="H73" s="454" t="s">
        <v>930</v>
      </c>
      <c r="I73" s="454" t="str">
        <f t="shared" si="7"/>
        <v>[fr]ErstellerIn:</v>
      </c>
      <c r="J73" s="454" t="str">
        <f t="shared" si="8"/>
        <v>[pt]ErstellerIn:</v>
      </c>
      <c r="K73" s="454" t="str">
        <f t="shared" si="6"/>
        <v>[gr]ErstellerIn:</v>
      </c>
    </row>
    <row r="74" spans="4:11" ht="15.75" customHeight="1">
      <c r="D74" s="453" t="str">
        <f t="shared" si="5"/>
        <v>E-Mail-Adresse:</v>
      </c>
      <c r="E74" s="454" t="s">
        <v>931</v>
      </c>
      <c r="F74" s="454" t="s">
        <v>932</v>
      </c>
      <c r="G74" s="460" t="s">
        <v>933</v>
      </c>
      <c r="H74" s="454" t="s">
        <v>934</v>
      </c>
      <c r="I74" s="454" t="str">
        <f t="shared" si="7"/>
        <v>[fr]E-Mail-Adresse:</v>
      </c>
      <c r="J74" s="454" t="str">
        <f t="shared" si="8"/>
        <v>[pt]E-Mail-Adresse:</v>
      </c>
      <c r="K74" s="454" t="str">
        <f t="shared" si="6"/>
        <v>[gr]E-Mail-Adresse:</v>
      </c>
    </row>
    <row r="75" spans="4:11" ht="15.75" customHeight="1">
      <c r="D75" s="453" t="str">
        <f t="shared" si="5"/>
        <v>Telefonnummer:</v>
      </c>
      <c r="E75" s="454" t="s">
        <v>935</v>
      </c>
      <c r="F75" s="454" t="s">
        <v>936</v>
      </c>
      <c r="G75" s="460" t="s">
        <v>937</v>
      </c>
      <c r="H75" s="454" t="s">
        <v>938</v>
      </c>
      <c r="I75" s="454" t="str">
        <f t="shared" si="7"/>
        <v>[fr]Telefonnummer:</v>
      </c>
      <c r="J75" s="454" t="str">
        <f t="shared" si="8"/>
        <v>[pt]Telefonnummer:</v>
      </c>
      <c r="K75" s="454" t="str">
        <f t="shared" si="6"/>
        <v>[gr]Telefonnummer:</v>
      </c>
    </row>
    <row r="76" spans="4:11" ht="15.75" customHeight="1">
      <c r="D76" s="453" t="str">
        <f t="shared" si="5"/>
        <v>BeraterIn:</v>
      </c>
      <c r="E76" s="454" t="s">
        <v>939</v>
      </c>
      <c r="F76" s="454" t="s">
        <v>940</v>
      </c>
      <c r="G76" s="460" t="s">
        <v>941</v>
      </c>
      <c r="H76" s="454" t="s">
        <v>942</v>
      </c>
      <c r="I76" s="454" t="str">
        <f t="shared" si="7"/>
        <v>[fr]BeraterIn:</v>
      </c>
      <c r="J76" s="454" t="str">
        <f t="shared" si="8"/>
        <v>[pt]BeraterIn:</v>
      </c>
      <c r="K76" s="454" t="str">
        <f t="shared" si="6"/>
        <v>[gr]BeraterIn:</v>
      </c>
    </row>
    <row r="77" spans="4:11" ht="15.75" customHeight="1">
      <c r="D77" s="453" t="str">
        <f t="shared" si="5"/>
        <v>E-Mail-Adresse:</v>
      </c>
      <c r="E77" s="454" t="s">
        <v>931</v>
      </c>
      <c r="F77" s="454" t="s">
        <v>932</v>
      </c>
      <c r="G77" s="460" t="s">
        <v>943</v>
      </c>
      <c r="H77" s="454" t="s">
        <v>934</v>
      </c>
      <c r="I77" s="454" t="str">
        <f t="shared" si="7"/>
        <v>[fr]E-Mail-Adresse:</v>
      </c>
      <c r="J77" s="454" t="str">
        <f t="shared" si="8"/>
        <v>[pt]E-Mail-Adresse:</v>
      </c>
      <c r="K77" s="454" t="str">
        <f t="shared" si="6"/>
        <v>[gr]E-Mail-Adresse:</v>
      </c>
    </row>
    <row r="78" spans="4:11" ht="15.75" customHeight="1">
      <c r="D78" s="453" t="str">
        <f t="shared" si="5"/>
        <v>Telefonnummer:</v>
      </c>
      <c r="E78" s="454" t="s">
        <v>935</v>
      </c>
      <c r="F78" s="454" t="s">
        <v>936</v>
      </c>
      <c r="G78" s="460" t="s">
        <v>944</v>
      </c>
      <c r="H78" s="454" t="s">
        <v>938</v>
      </c>
      <c r="I78" s="454" t="str">
        <f t="shared" si="7"/>
        <v>[fr]Telefonnummer:</v>
      </c>
      <c r="J78" s="454" t="str">
        <f t="shared" si="8"/>
        <v>[pt]Telefonnummer:</v>
      </c>
      <c r="K78" s="454" t="str">
        <f t="shared" si="6"/>
        <v>[gr]Telefonnummer:</v>
      </c>
    </row>
    <row r="79" spans="4:11" ht="28.5" customHeight="1">
      <c r="D79" s="453" t="str">
        <f t="shared" si="5"/>
        <v>Kurzbeschreibung
des Unternehmens:</v>
      </c>
      <c r="E79" s="454" t="s">
        <v>945</v>
      </c>
      <c r="F79" s="454" t="s">
        <v>946</v>
      </c>
      <c r="G79" s="460" t="s">
        <v>947</v>
      </c>
      <c r="H79" s="454" t="s">
        <v>948</v>
      </c>
      <c r="I79" s="454" t="str">
        <f t="shared" si="7"/>
        <v>[fr]Kurzbeschreibung
des Unternehmens:</v>
      </c>
      <c r="J79" s="454" t="str">
        <f t="shared" si="8"/>
        <v>[pt]Kurzbeschreibung
des Unternehmens:</v>
      </c>
      <c r="K79" s="454" t="str">
        <f t="shared" si="6"/>
        <v>[gr]Kurzbeschreibung
des Unternehmens:</v>
      </c>
    </row>
    <row r="80" spans="4:11" ht="15.75" customHeight="1">
      <c r="D80" s="453" t="str">
        <f t="shared" si="5"/>
        <v>Sonstige Anmerkungen:</v>
      </c>
      <c r="E80" s="454" t="s">
        <v>949</v>
      </c>
      <c r="F80" s="454" t="s">
        <v>950</v>
      </c>
      <c r="G80" s="460" t="s">
        <v>951</v>
      </c>
      <c r="H80" s="454" t="s">
        <v>952</v>
      </c>
      <c r="I80" s="454" t="str">
        <f t="shared" si="7"/>
        <v>[fr]Sonstige Anmerkungen:</v>
      </c>
      <c r="J80" s="454" t="str">
        <f t="shared" si="8"/>
        <v>[pt]Sonstige Anmerkungen:</v>
      </c>
      <c r="K80" s="454" t="str">
        <f t="shared" si="6"/>
        <v>[gr]Sonstige Anmerkungen:</v>
      </c>
    </row>
    <row r="81" spans="4:11" ht="15.75" customHeight="1">
      <c r="D81" s="453" t="str">
        <f t="shared" si="5"/>
        <v>BERECHNUNG DER EINZELNEN THEMEN</v>
      </c>
      <c r="E81" s="459" t="s">
        <v>953</v>
      </c>
      <c r="F81" s="454" t="s">
        <v>954</v>
      </c>
      <c r="G81" s="460" t="s">
        <v>955</v>
      </c>
      <c r="H81" s="454" t="s">
        <v>956</v>
      </c>
      <c r="I81" s="454" t="str">
        <f t="shared" si="7"/>
        <v>[fr]BERECHNUNG DER EINZELNEN THEMEN</v>
      </c>
      <c r="J81" s="454" t="str">
        <f t="shared" si="8"/>
        <v>[pt]BERECHNUNG DER EINZELNEN THEMEN</v>
      </c>
      <c r="K81" s="454" t="str">
        <f t="shared" si="6"/>
        <v>[gr]BERECHNUNG DER EINZELNEN THEMEN</v>
      </c>
    </row>
    <row r="82" spans="4:11" ht="15.75" customHeight="1">
      <c r="D82" s="453" t="str">
        <f t="shared" si="5"/>
        <v>Unternehmen</v>
      </c>
      <c r="E82" s="454" t="s">
        <v>957</v>
      </c>
      <c r="F82" s="454" t="s">
        <v>958</v>
      </c>
      <c r="G82" s="460" t="s">
        <v>959</v>
      </c>
      <c r="H82" s="454" t="s">
        <v>960</v>
      </c>
      <c r="I82" s="454" t="str">
        <f t="shared" si="7"/>
        <v>[fr]Unternehmen</v>
      </c>
      <c r="J82" s="454" t="s">
        <v>961</v>
      </c>
      <c r="K82" s="454" t="str">
        <f t="shared" si="6"/>
        <v>[gr]Unternehmen</v>
      </c>
    </row>
    <row r="83" spans="4:11" ht="15.75" customHeight="1">
      <c r="D83" s="453" t="str">
        <f t="shared" si="5"/>
        <v>Bilanz-Jahr</v>
      </c>
      <c r="E83" s="454" t="s">
        <v>962</v>
      </c>
      <c r="F83" s="454" t="s">
        <v>963</v>
      </c>
      <c r="G83" s="460" t="s">
        <v>964</v>
      </c>
      <c r="H83" s="454" t="s">
        <v>926</v>
      </c>
      <c r="I83" s="454" t="str">
        <f t="shared" si="7"/>
        <v>[fr]Bilanz-Jahr</v>
      </c>
      <c r="J83" s="454" t="s">
        <v>965</v>
      </c>
      <c r="K83" s="454" t="str">
        <f t="shared" si="6"/>
        <v>[gr]Bilanz-Jahr</v>
      </c>
    </row>
    <row r="84" spans="4:11" ht="15.75" customHeight="1">
      <c r="D84" s="453">
        <f t="shared" si="5"/>
        <v>0</v>
      </c>
      <c r="E84" s="454"/>
      <c r="G84" s="460"/>
      <c r="H84" s="454"/>
      <c r="I84" s="454"/>
      <c r="J84" s="454"/>
      <c r="K84" s="454"/>
    </row>
    <row r="85" spans="4:11" ht="15.75" customHeight="1">
      <c r="D85" s="453">
        <f t="shared" si="5"/>
        <v>0</v>
      </c>
      <c r="E85" s="454"/>
      <c r="G85" s="460"/>
      <c r="H85" s="454"/>
      <c r="I85" s="454"/>
      <c r="J85" s="454"/>
      <c r="K85" s="454"/>
    </row>
    <row r="86" spans="4:11" ht="15.75" customHeight="1">
      <c r="D86" s="453">
        <f t="shared" si="5"/>
        <v>0</v>
      </c>
      <c r="E86" s="454"/>
      <c r="G86" s="460"/>
      <c r="H86" s="454"/>
      <c r="I86" s="454"/>
      <c r="J86" s="454"/>
      <c r="K86" s="454"/>
    </row>
    <row r="87" spans="4:11" ht="15.75" customHeight="1">
      <c r="D87" s="453">
        <f t="shared" si="5"/>
        <v>0</v>
      </c>
      <c r="E87" s="454"/>
      <c r="G87" s="460"/>
      <c r="H87" s="454"/>
      <c r="I87" s="454"/>
      <c r="J87" s="454"/>
      <c r="K87" s="454"/>
    </row>
    <row r="88" spans="4:11" ht="15.75" customHeight="1">
      <c r="D88" s="453">
        <f t="shared" si="5"/>
        <v>0</v>
      </c>
      <c r="E88" s="454"/>
      <c r="G88" s="460"/>
      <c r="H88" s="454"/>
      <c r="I88" s="454"/>
      <c r="J88" s="454"/>
      <c r="K88" s="454"/>
    </row>
    <row r="89" spans="4:11" ht="15.75" customHeight="1">
      <c r="D89" s="453">
        <f t="shared" si="5"/>
        <v>0</v>
      </c>
      <c r="E89" s="454"/>
      <c r="G89" s="460"/>
      <c r="H89" s="454"/>
      <c r="I89" s="454"/>
      <c r="J89" s="454"/>
      <c r="K89" s="454"/>
    </row>
    <row r="90" spans="4:11" ht="15.75" customHeight="1">
      <c r="D90" s="453" t="str">
        <f t="shared" si="5"/>
        <v>BERECHNUNG DER EINZELNEN ASPEKTE</v>
      </c>
      <c r="E90" s="454" t="s">
        <v>966</v>
      </c>
      <c r="F90" s="454" t="s">
        <v>967</v>
      </c>
      <c r="G90" s="460" t="s">
        <v>968</v>
      </c>
      <c r="H90" s="454" t="s">
        <v>969</v>
      </c>
      <c r="I90" s="454" t="str">
        <f t="shared" ref="I90:I158" si="9">"[fr]"&amp;E90</f>
        <v>[fr]BERECHNUNG DER EINZELNEN ASPEKTE</v>
      </c>
      <c r="J90" s="473" t="s">
        <v>970</v>
      </c>
      <c r="K90" s="454" t="str">
        <f t="shared" ref="K90:K122" si="10">"[gr]"&amp;E90</f>
        <v>[gr]BERECHNUNG DER EINZELNEN ASPEKTE</v>
      </c>
    </row>
    <row r="91" spans="4:11" ht="15.75" customHeight="1">
      <c r="D91" s="453" t="str">
        <f t="shared" si="5"/>
        <v>Gemeinwohl-Bilanz-Rechner</v>
      </c>
      <c r="E91" s="454" t="s">
        <v>971</v>
      </c>
      <c r="F91" s="461" t="s">
        <v>972</v>
      </c>
      <c r="G91" s="460" t="s">
        <v>973</v>
      </c>
      <c r="H91" s="454" t="s">
        <v>974</v>
      </c>
      <c r="I91" s="454" t="str">
        <f t="shared" si="9"/>
        <v>[fr]Gemeinwohl-Bilanz-Rechner</v>
      </c>
      <c r="J91" s="454" t="s">
        <v>975</v>
      </c>
      <c r="K91" s="454" t="str">
        <f t="shared" si="10"/>
        <v>[gr]Gemeinwohl-Bilanz-Rechner</v>
      </c>
    </row>
    <row r="92" spans="4:11" ht="15.75" customHeight="1">
      <c r="D92" s="453" t="str">
        <f t="shared" si="5"/>
        <v>BILANZSUMME:</v>
      </c>
      <c r="E92" s="454" t="s">
        <v>976</v>
      </c>
      <c r="F92" s="454" t="s">
        <v>977</v>
      </c>
      <c r="G92" s="460" t="s">
        <v>978</v>
      </c>
      <c r="H92" s="454" t="s">
        <v>979</v>
      </c>
      <c r="I92" s="454" t="str">
        <f t="shared" si="9"/>
        <v>[fr]BILANZSUMME:</v>
      </c>
      <c r="J92" s="454" t="s">
        <v>980</v>
      </c>
      <c r="K92" s="454" t="str">
        <f t="shared" si="10"/>
        <v>[gr]BILANZSUMME:</v>
      </c>
    </row>
    <row r="93" spans="4:11" ht="15.75" customHeight="1">
      <c r="D93" s="453" t="str">
        <f t="shared" si="5"/>
        <v>Nr.</v>
      </c>
      <c r="E93" s="454" t="s">
        <v>981</v>
      </c>
      <c r="F93" s="454" t="s">
        <v>982</v>
      </c>
      <c r="G93" s="460" t="s">
        <v>983</v>
      </c>
      <c r="H93" s="454" t="s">
        <v>984</v>
      </c>
      <c r="I93" s="454" t="str">
        <f t="shared" si="9"/>
        <v>[fr]Nr.</v>
      </c>
      <c r="J93" s="454" t="str">
        <f>"[pt]"&amp;E93</f>
        <v>[pt]Nr.</v>
      </c>
      <c r="K93" s="454" t="str">
        <f t="shared" si="10"/>
        <v>[gr]Nr.</v>
      </c>
    </row>
    <row r="94" spans="4:11" ht="15.75" customHeight="1">
      <c r="D94" s="453" t="str">
        <f t="shared" si="5"/>
        <v>Berührungsgruppe</v>
      </c>
      <c r="E94" s="454" t="s">
        <v>985</v>
      </c>
      <c r="F94" s="454" t="s">
        <v>986</v>
      </c>
      <c r="G94" s="460" t="s">
        <v>987</v>
      </c>
      <c r="H94" s="454" t="s">
        <v>988</v>
      </c>
      <c r="I94" s="454" t="str">
        <f t="shared" si="9"/>
        <v>[fr]Berührungsgruppe</v>
      </c>
      <c r="J94" s="454" t="str">
        <f>"[pt]"&amp;E94</f>
        <v>[pt]Berührungsgruppe</v>
      </c>
      <c r="K94" s="454" t="str">
        <f t="shared" si="10"/>
        <v>[gr]Berührungsgruppe</v>
      </c>
    </row>
    <row r="95" spans="4:11" ht="15.75" customHeight="1">
      <c r="D95" s="453" t="str">
        <f t="shared" si="5"/>
        <v>Berührungsgruppe/Themen/Aspekte</v>
      </c>
      <c r="E95" s="459" t="s">
        <v>989</v>
      </c>
      <c r="F95" s="454" t="s">
        <v>990</v>
      </c>
      <c r="G95" s="460" t="s">
        <v>991</v>
      </c>
      <c r="H95" s="454" t="s">
        <v>992</v>
      </c>
      <c r="I95" s="454" t="str">
        <f t="shared" si="9"/>
        <v>[fr]Berührungsgruppe/Themen/Aspekte</v>
      </c>
      <c r="J95" s="454" t="str">
        <f>"[pt]"&amp;E95</f>
        <v>[pt]Berührungsgruppe/Themen/Aspekte</v>
      </c>
      <c r="K95" s="454" t="str">
        <f t="shared" si="10"/>
        <v>[gr]Berührungsgruppe/Themen/Aspekte</v>
      </c>
    </row>
    <row r="96" spans="4:11" ht="15.75" customHeight="1">
      <c r="D96" s="453" t="str">
        <f t="shared" si="5"/>
        <v>Gewichtung</v>
      </c>
      <c r="E96" s="454" t="s">
        <v>993</v>
      </c>
      <c r="F96" s="454" t="s">
        <v>994</v>
      </c>
      <c r="G96" s="460" t="s">
        <v>995</v>
      </c>
      <c r="H96" s="454" t="s">
        <v>996</v>
      </c>
      <c r="I96" s="454" t="str">
        <f t="shared" si="9"/>
        <v>[fr]Gewichtung</v>
      </c>
      <c r="J96" s="454" t="s">
        <v>994</v>
      </c>
      <c r="K96" s="454" t="str">
        <f t="shared" si="10"/>
        <v>[gr]Gewichtung</v>
      </c>
    </row>
    <row r="97" spans="2:11" ht="15.75" customHeight="1">
      <c r="C97" s="474">
        <v>4</v>
      </c>
      <c r="D97" s="453" t="str">
        <f t="shared" si="5"/>
        <v>sehr hoch</v>
      </c>
      <c r="E97" s="454" t="s">
        <v>152</v>
      </c>
      <c r="F97" s="454" t="s">
        <v>997</v>
      </c>
      <c r="G97" s="460" t="s">
        <v>998</v>
      </c>
      <c r="H97" s="454" t="s">
        <v>999</v>
      </c>
      <c r="I97" s="454" t="str">
        <f t="shared" si="9"/>
        <v>[fr]sehr hoch</v>
      </c>
      <c r="J97" s="454" t="str">
        <f>"[pt]"&amp;E97</f>
        <v>[pt]sehr hoch</v>
      </c>
      <c r="K97" s="454" t="str">
        <f t="shared" si="10"/>
        <v>[gr]sehr hoch</v>
      </c>
    </row>
    <row r="98" spans="2:11" ht="15.75" customHeight="1">
      <c r="C98" s="474">
        <v>3</v>
      </c>
      <c r="D98" s="453" t="str">
        <f t="shared" si="5"/>
        <v>hoch</v>
      </c>
      <c r="E98" s="454" t="s">
        <v>151</v>
      </c>
      <c r="F98" s="454" t="s">
        <v>1000</v>
      </c>
      <c r="G98" s="460" t="s">
        <v>1001</v>
      </c>
      <c r="H98" s="454" t="s">
        <v>1002</v>
      </c>
      <c r="I98" s="454" t="str">
        <f t="shared" si="9"/>
        <v>[fr]hoch</v>
      </c>
      <c r="J98" s="454" t="str">
        <f>"[pt]"&amp;E98</f>
        <v>[pt]hoch</v>
      </c>
      <c r="K98" s="454" t="str">
        <f t="shared" si="10"/>
        <v>[gr]hoch</v>
      </c>
    </row>
    <row r="99" spans="2:11" ht="15.75" customHeight="1">
      <c r="C99" s="474">
        <v>2</v>
      </c>
      <c r="D99" s="453" t="str">
        <f t="shared" si="5"/>
        <v>mittel</v>
      </c>
      <c r="E99" s="454" t="s">
        <v>150</v>
      </c>
      <c r="F99" s="454" t="s">
        <v>1003</v>
      </c>
      <c r="G99" s="460" t="s">
        <v>1004</v>
      </c>
      <c r="H99" s="454" t="s">
        <v>1005</v>
      </c>
      <c r="I99" s="454" t="str">
        <f t="shared" si="9"/>
        <v>[fr]mittel</v>
      </c>
      <c r="J99" s="454" t="str">
        <f>"[pt]"&amp;E99</f>
        <v>[pt]mittel</v>
      </c>
      <c r="K99" s="454" t="str">
        <f t="shared" si="10"/>
        <v>[gr]mittel</v>
      </c>
    </row>
    <row r="100" spans="2:11" ht="15.75" customHeight="1">
      <c r="C100" s="474">
        <v>1</v>
      </c>
      <c r="D100" s="453" t="str">
        <f t="shared" si="5"/>
        <v>niedrig</v>
      </c>
      <c r="E100" s="454" t="s">
        <v>149</v>
      </c>
      <c r="F100" s="454" t="s">
        <v>1006</v>
      </c>
      <c r="G100" s="460" t="s">
        <v>1007</v>
      </c>
      <c r="H100" s="454" t="s">
        <v>1008</v>
      </c>
      <c r="I100" s="454" t="str">
        <f t="shared" si="9"/>
        <v>[fr]niedrig</v>
      </c>
      <c r="J100" s="454" t="str">
        <f>"[pt]"&amp;E100</f>
        <v>[pt]niedrig</v>
      </c>
      <c r="K100" s="454" t="str">
        <f t="shared" si="10"/>
        <v>[gr]niedrig</v>
      </c>
    </row>
    <row r="101" spans="2:11" ht="15.75" customHeight="1">
      <c r="C101" s="474">
        <v>0</v>
      </c>
      <c r="D101" s="453" t="str">
        <f t="shared" si="5"/>
        <v>trifft nicht zu</v>
      </c>
      <c r="E101" s="454" t="s">
        <v>148</v>
      </c>
      <c r="F101" s="454" t="s">
        <v>1009</v>
      </c>
      <c r="G101" s="460" t="s">
        <v>1010</v>
      </c>
      <c r="H101" s="454" t="s">
        <v>1011</v>
      </c>
      <c r="I101" s="454" t="str">
        <f t="shared" si="9"/>
        <v>[fr]trifft nicht zu</v>
      </c>
      <c r="J101" s="454" t="str">
        <f>"[pt]"&amp;E101</f>
        <v>[pt]trifft nicht zu</v>
      </c>
      <c r="K101" s="454" t="str">
        <f t="shared" si="10"/>
        <v>[gr]trifft nicht zu</v>
      </c>
    </row>
    <row r="102" spans="2:11" ht="15.75" customHeight="1">
      <c r="D102" s="453" t="str">
        <f t="shared" si="5"/>
        <v>Erläuterung</v>
      </c>
      <c r="E102" s="459" t="s">
        <v>1012</v>
      </c>
      <c r="F102" s="454" t="s">
        <v>1013</v>
      </c>
      <c r="G102" s="460" t="s">
        <v>1014</v>
      </c>
      <c r="H102" s="454" t="s">
        <v>1015</v>
      </c>
      <c r="I102" s="454" t="str">
        <f t="shared" si="9"/>
        <v>[fr]Erläuterung</v>
      </c>
      <c r="J102" s="475" t="s">
        <v>1016</v>
      </c>
      <c r="K102" s="454" t="str">
        <f t="shared" si="10"/>
        <v>[gr]Erläuterung</v>
      </c>
    </row>
    <row r="103" spans="2:11" ht="15.75" customHeight="1">
      <c r="D103" s="453" t="str">
        <f t="shared" si="5"/>
        <v>Verbesserungspotenzial</v>
      </c>
      <c r="E103" s="454" t="s">
        <v>1017</v>
      </c>
      <c r="F103" s="454" t="s">
        <v>1018</v>
      </c>
      <c r="G103" s="460" t="s">
        <v>1019</v>
      </c>
      <c r="H103" s="454" t="s">
        <v>1020</v>
      </c>
      <c r="I103" s="454" t="str">
        <f t="shared" si="9"/>
        <v>[fr]Verbesserungspotenzial</v>
      </c>
      <c r="J103" s="454" t="s">
        <v>1021</v>
      </c>
      <c r="K103" s="454" t="str">
        <f t="shared" si="10"/>
        <v>[gr]Verbesserungspotenzial</v>
      </c>
    </row>
    <row r="104" spans="2:11" ht="15.75" customHeight="1">
      <c r="D104" s="453" t="str">
        <f t="shared" si="5"/>
        <v>Erfüll.</v>
      </c>
      <c r="E104" s="454" t="s">
        <v>1022</v>
      </c>
      <c r="F104" s="454" t="s">
        <v>1023</v>
      </c>
      <c r="G104" s="460" t="s">
        <v>1024</v>
      </c>
      <c r="H104" s="454" t="s">
        <v>1025</v>
      </c>
      <c r="I104" s="454" t="str">
        <f t="shared" si="9"/>
        <v>[fr]Erfüll.</v>
      </c>
      <c r="J104" s="454" t="str">
        <f>"[pt]"&amp;E104</f>
        <v>[pt]Erfüll.</v>
      </c>
      <c r="K104" s="454" t="str">
        <f t="shared" si="10"/>
        <v>[gr]Erfüll.</v>
      </c>
    </row>
    <row r="105" spans="2:11" ht="15.75" customHeight="1">
      <c r="D105" s="453" t="str">
        <f t="shared" si="5"/>
        <v>Pkte</v>
      </c>
      <c r="E105" s="454" t="s">
        <v>1026</v>
      </c>
      <c r="F105" s="454" t="s">
        <v>1027</v>
      </c>
      <c r="G105" s="460" t="s">
        <v>1028</v>
      </c>
      <c r="H105" s="454" t="s">
        <v>1029</v>
      </c>
      <c r="I105" s="454" t="str">
        <f t="shared" si="9"/>
        <v>[fr]Pkte</v>
      </c>
      <c r="J105" s="454" t="str">
        <f>"[pt]"&amp;E105</f>
        <v>[pt]Pkte</v>
      </c>
      <c r="K105" s="454" t="str">
        <f t="shared" si="10"/>
        <v>[gr]Pkte</v>
      </c>
    </row>
    <row r="106" spans="2:11" ht="15.75" customHeight="1">
      <c r="D106" s="453" t="str">
        <f t="shared" si="5"/>
        <v>Max.</v>
      </c>
      <c r="E106" s="454" t="s">
        <v>1030</v>
      </c>
      <c r="F106" s="454" t="s">
        <v>1030</v>
      </c>
      <c r="G106" s="460" t="s">
        <v>1030</v>
      </c>
      <c r="H106" s="454" t="s">
        <v>1030</v>
      </c>
      <c r="I106" s="454" t="str">
        <f t="shared" si="9"/>
        <v>[fr]Max.</v>
      </c>
      <c r="J106" s="454" t="str">
        <f>"[pt]"&amp;E106</f>
        <v>[pt]Max.</v>
      </c>
      <c r="K106" s="454" t="str">
        <f t="shared" si="10"/>
        <v>[gr]Max.</v>
      </c>
    </row>
    <row r="107" spans="2:11" ht="15.75" customHeight="1">
      <c r="D107" s="453" t="str">
        <f t="shared" si="5"/>
        <v>Berührungsgruppe/Themen/Aspekte</v>
      </c>
      <c r="E107" s="454" t="s">
        <v>989</v>
      </c>
      <c r="F107" s="454" t="s">
        <v>1031</v>
      </c>
      <c r="G107" s="460" t="s">
        <v>1032</v>
      </c>
      <c r="H107" s="454" t="s">
        <v>992</v>
      </c>
      <c r="I107" s="454" t="str">
        <f t="shared" si="9"/>
        <v>[fr]Berührungsgruppe/Themen/Aspekte</v>
      </c>
      <c r="J107" s="454" t="s">
        <v>1033</v>
      </c>
      <c r="K107" s="454" t="str">
        <f t="shared" si="10"/>
        <v>[gr]Berührungsgruppe/Themen/Aspekte</v>
      </c>
    </row>
    <row r="108" spans="2:11" ht="15.75" customHeight="1">
      <c r="B108" s="476" t="str">
        <f>C108&amp;": "&amp;D108</f>
        <v>A: Lieferant*innen</v>
      </c>
      <c r="C108" s="477" t="s">
        <v>13</v>
      </c>
      <c r="D108" s="453" t="str">
        <f t="shared" si="5"/>
        <v>Lieferant*innen</v>
      </c>
      <c r="E108" s="478" t="s">
        <v>1034</v>
      </c>
      <c r="F108" s="479" t="s">
        <v>1035</v>
      </c>
      <c r="G108" s="460" t="s">
        <v>1036</v>
      </c>
      <c r="H108" s="454" t="s">
        <v>1037</v>
      </c>
      <c r="I108" s="454" t="str">
        <f t="shared" si="9"/>
        <v>[fr]Lieferant*innen</v>
      </c>
      <c r="J108" s="480" t="s">
        <v>1038</v>
      </c>
      <c r="K108" s="454" t="str">
        <f t="shared" si="10"/>
        <v>[gr]Lieferant*innen</v>
      </c>
    </row>
    <row r="109" spans="2:11" ht="28.5" customHeight="1">
      <c r="B109" s="451" t="str">
        <f>C109&amp;": "&amp;D109</f>
        <v>A1: Menschenwürde in der Zulieferkette</v>
      </c>
      <c r="C109" s="481" t="s">
        <v>14</v>
      </c>
      <c r="D109" s="453" t="str">
        <f t="shared" si="5"/>
        <v>Menschenwürde in der Zulieferkette</v>
      </c>
      <c r="E109" s="482" t="s">
        <v>1039</v>
      </c>
      <c r="F109" s="483" t="s">
        <v>1040</v>
      </c>
      <c r="G109" s="460" t="s">
        <v>1041</v>
      </c>
      <c r="H109" s="454" t="s">
        <v>1042</v>
      </c>
      <c r="I109" s="454" t="str">
        <f t="shared" si="9"/>
        <v>[fr]Menschenwürde in der Zulieferkette</v>
      </c>
      <c r="J109" s="484" t="s">
        <v>1043</v>
      </c>
      <c r="K109" s="454" t="str">
        <f t="shared" si="10"/>
        <v>[gr]Menschenwürde in der Zulieferkette</v>
      </c>
    </row>
    <row r="110" spans="2:11" ht="28.5" customHeight="1">
      <c r="C110" s="485" t="s">
        <v>15</v>
      </c>
      <c r="D110" s="453" t="str">
        <f t="shared" si="5"/>
        <v>Arbeitsbedingungen und gesellschaftliche Auswirkungen in der Zulieferkette</v>
      </c>
      <c r="E110" s="485" t="s">
        <v>1044</v>
      </c>
      <c r="F110" s="454" t="s">
        <v>1045</v>
      </c>
      <c r="G110" s="460" t="s">
        <v>1046</v>
      </c>
      <c r="H110" s="454" t="s">
        <v>1047</v>
      </c>
      <c r="I110" s="454" t="str">
        <f t="shared" si="9"/>
        <v>[fr]Arbeitsbedingungen und gesellschaftliche Auswirkungen in der Zulieferkette</v>
      </c>
      <c r="J110" s="486" t="s">
        <v>1048</v>
      </c>
      <c r="K110" s="454" t="str">
        <f t="shared" si="10"/>
        <v>[gr]Arbeitsbedingungen und gesellschaftliche Auswirkungen in der Zulieferkette</v>
      </c>
    </row>
    <row r="111" spans="2:11" ht="28.5" customHeight="1">
      <c r="C111" s="485" t="s">
        <v>16</v>
      </c>
      <c r="D111" s="453" t="str">
        <f t="shared" si="5"/>
        <v>Negativ-Aspekt: Verletzung der Menschenwürde in der Zulieferkette</v>
      </c>
      <c r="E111" s="485" t="s">
        <v>1049</v>
      </c>
      <c r="F111" s="460" t="s">
        <v>1050</v>
      </c>
      <c r="G111" s="460" t="s">
        <v>1051</v>
      </c>
      <c r="H111" s="454" t="s">
        <v>1052</v>
      </c>
      <c r="I111" s="454" t="str">
        <f t="shared" si="9"/>
        <v>[fr]Negativ-Aspekt: Verletzung der Menschenwürde in der Zulieferkette</v>
      </c>
      <c r="J111" s="486" t="s">
        <v>1053</v>
      </c>
      <c r="K111" s="454" t="str">
        <f t="shared" si="10"/>
        <v>[gr]Negativ-Aspekt: Verletzung der Menschenwürde in der Zulieferkette</v>
      </c>
    </row>
    <row r="112" spans="2:11" ht="28.5" customHeight="1">
      <c r="B112" s="451" t="str">
        <f>C112&amp;": "&amp;D112</f>
        <v>A2: Solidarität und Gerechtigkeit in der Zulieferkette</v>
      </c>
      <c r="C112" s="481" t="s">
        <v>17</v>
      </c>
      <c r="D112" s="453" t="str">
        <f t="shared" si="5"/>
        <v>Solidarität und Gerechtigkeit in der Zulieferkette</v>
      </c>
      <c r="E112" s="482" t="s">
        <v>1054</v>
      </c>
      <c r="F112" s="483" t="s">
        <v>1055</v>
      </c>
      <c r="G112" s="460" t="s">
        <v>1056</v>
      </c>
      <c r="H112" s="454" t="s">
        <v>1057</v>
      </c>
      <c r="I112" s="454" t="str">
        <f t="shared" si="9"/>
        <v>[fr]Solidarität und Gerechtigkeit in der Zulieferkette</v>
      </c>
      <c r="J112" s="484" t="s">
        <v>1058</v>
      </c>
      <c r="K112" s="454" t="str">
        <f t="shared" si="10"/>
        <v>[gr]Solidarität und Gerechtigkeit in der Zulieferkette</v>
      </c>
    </row>
    <row r="113" spans="2:12" ht="28.5" customHeight="1">
      <c r="C113" s="485" t="s">
        <v>18</v>
      </c>
      <c r="D113" s="453" t="str">
        <f t="shared" si="5"/>
        <v>Faire Geschäftsbeziehungen zu direkten Lieferant*innen</v>
      </c>
      <c r="E113" s="485" t="s">
        <v>1059</v>
      </c>
      <c r="F113" s="454" t="s">
        <v>1060</v>
      </c>
      <c r="G113" s="460" t="s">
        <v>1061</v>
      </c>
      <c r="H113" s="454" t="s">
        <v>1062</v>
      </c>
      <c r="I113" s="454" t="str">
        <f t="shared" si="9"/>
        <v>[fr]Faire Geschäftsbeziehungen zu direkten Lieferant*innen</v>
      </c>
      <c r="J113" s="486" t="s">
        <v>1063</v>
      </c>
      <c r="K113" s="454" t="str">
        <f t="shared" si="10"/>
        <v>[gr]Faire Geschäftsbeziehungen zu direkten Lieferant*innen</v>
      </c>
    </row>
    <row r="114" spans="2:12" ht="28.5" customHeight="1">
      <c r="C114" s="485" t="s">
        <v>19</v>
      </c>
      <c r="D114" s="453" t="str">
        <f t="shared" si="5"/>
        <v>Positive Einflussnahme auf Solidarität und Gerechtigkeit in der gesamten Zulieferkette</v>
      </c>
      <c r="E114" s="485" t="s">
        <v>1064</v>
      </c>
      <c r="F114" s="454" t="s">
        <v>1065</v>
      </c>
      <c r="G114" s="460" t="s">
        <v>1066</v>
      </c>
      <c r="H114" s="454" t="s">
        <v>1067</v>
      </c>
      <c r="I114" s="454" t="str">
        <f t="shared" si="9"/>
        <v>[fr]Positive Einflussnahme auf Solidarität und Gerechtigkeit in der gesamten Zulieferkette</v>
      </c>
      <c r="J114" s="486" t="s">
        <v>1068</v>
      </c>
      <c r="K114" s="454" t="str">
        <f t="shared" si="10"/>
        <v>[gr]Positive Einflussnahme auf Solidarität und Gerechtigkeit in der gesamten Zulieferkette</v>
      </c>
    </row>
    <row r="115" spans="2:12" ht="28.5" customHeight="1">
      <c r="C115" s="485" t="s">
        <v>20</v>
      </c>
      <c r="D115" s="453" t="str">
        <f t="shared" si="5"/>
        <v>Negativ-Aspekt: Ausnutzung der Marktmacht gegenüber Lieferant*innen</v>
      </c>
      <c r="E115" s="485" t="s">
        <v>1069</v>
      </c>
      <c r="F115" s="454" t="s">
        <v>1070</v>
      </c>
      <c r="G115" s="460" t="s">
        <v>1071</v>
      </c>
      <c r="H115" s="454" t="s">
        <v>1072</v>
      </c>
      <c r="I115" s="454" t="str">
        <f t="shared" si="9"/>
        <v>[fr]Negativ-Aspekt: Ausnutzung der Marktmacht gegenüber Lieferant*innen</v>
      </c>
      <c r="J115" s="486" t="s">
        <v>1073</v>
      </c>
      <c r="K115" s="454" t="str">
        <f t="shared" si="10"/>
        <v>[gr]Negativ-Aspekt: Ausnutzung der Marktmacht gegenüber Lieferant*innen</v>
      </c>
    </row>
    <row r="116" spans="2:12" ht="28.5" customHeight="1">
      <c r="B116" s="451" t="str">
        <f>C116&amp;": "&amp;D116</f>
        <v>A3: Ökologische Nachhaltigkeit in der Zulieferkette</v>
      </c>
      <c r="C116" s="481" t="s">
        <v>21</v>
      </c>
      <c r="D116" s="453" t="str">
        <f t="shared" si="5"/>
        <v>Ökologische Nachhaltigkeit in der Zulieferkette</v>
      </c>
      <c r="E116" s="482" t="s">
        <v>1074</v>
      </c>
      <c r="F116" s="483" t="s">
        <v>1075</v>
      </c>
      <c r="G116" s="460" t="s">
        <v>1076</v>
      </c>
      <c r="H116" s="454" t="s">
        <v>1077</v>
      </c>
      <c r="I116" s="454" t="str">
        <f t="shared" si="9"/>
        <v>[fr]Ökologische Nachhaltigkeit in der Zulieferkette</v>
      </c>
      <c r="J116" s="484" t="s">
        <v>1078</v>
      </c>
      <c r="K116" s="454" t="str">
        <f t="shared" si="10"/>
        <v>[gr]Ökologische Nachhaltigkeit in der Zulieferkette</v>
      </c>
    </row>
    <row r="117" spans="2:12" ht="28.5" customHeight="1">
      <c r="C117" s="485" t="s">
        <v>22</v>
      </c>
      <c r="D117" s="453" t="str">
        <f t="shared" si="5"/>
        <v>Umweltauswirkungen in der Zulieferkette</v>
      </c>
      <c r="E117" s="485" t="s">
        <v>1079</v>
      </c>
      <c r="F117" s="454" t="s">
        <v>1080</v>
      </c>
      <c r="G117" s="460" t="s">
        <v>1081</v>
      </c>
      <c r="H117" s="454" t="s">
        <v>1082</v>
      </c>
      <c r="I117" s="454" t="str">
        <f t="shared" si="9"/>
        <v>[fr]Umweltauswirkungen in der Zulieferkette</v>
      </c>
      <c r="J117" s="486" t="s">
        <v>1083</v>
      </c>
      <c r="K117" s="454" t="str">
        <f t="shared" si="10"/>
        <v>[gr]Umweltauswirkungen in der Zulieferkette</v>
      </c>
    </row>
    <row r="118" spans="2:12" ht="41.85" customHeight="1">
      <c r="C118" s="485" t="s">
        <v>23</v>
      </c>
      <c r="D118" s="453" t="str">
        <f t="shared" si="5"/>
        <v>Negativ-Aspekt:Unverhältnismäßig hohe Umweltauswirkungen in der Zulieferkette</v>
      </c>
      <c r="E118" s="485" t="s">
        <v>1084</v>
      </c>
      <c r="F118" s="454" t="s">
        <v>1085</v>
      </c>
      <c r="G118" s="460" t="s">
        <v>1086</v>
      </c>
      <c r="H118" s="454" t="s">
        <v>1087</v>
      </c>
      <c r="I118" s="454" t="str">
        <f t="shared" si="9"/>
        <v>[fr]Negativ-Aspekt:Unverhältnismäßig hohe Umweltauswirkungen in der Zulieferkette</v>
      </c>
      <c r="J118" s="486" t="s">
        <v>1088</v>
      </c>
      <c r="K118" s="454" t="str">
        <f t="shared" si="10"/>
        <v>[gr]Negativ-Aspekt:Unverhältnismäßig hohe Umweltauswirkungen in der Zulieferkette</v>
      </c>
    </row>
    <row r="119" spans="2:12" ht="41.85" customHeight="1">
      <c r="B119" s="451" t="str">
        <f>C119&amp;": "&amp;D119</f>
        <v>A4: Transparenz und Mitentscheidung in der Zulieferkette</v>
      </c>
      <c r="C119" s="481" t="s">
        <v>24</v>
      </c>
      <c r="D119" s="453" t="str">
        <f t="shared" si="5"/>
        <v>Transparenz und Mitentscheidung in der Zulieferkette</v>
      </c>
      <c r="E119" s="482" t="s">
        <v>1089</v>
      </c>
      <c r="F119" s="483" t="s">
        <v>1090</v>
      </c>
      <c r="G119" s="460" t="s">
        <v>1091</v>
      </c>
      <c r="H119" s="454" t="s">
        <v>1092</v>
      </c>
      <c r="I119" s="454" t="str">
        <f t="shared" si="9"/>
        <v>[fr]Transparenz und Mitentscheidung in der Zulieferkette</v>
      </c>
      <c r="J119" s="484" t="s">
        <v>1093</v>
      </c>
      <c r="K119" s="454" t="str">
        <f t="shared" si="10"/>
        <v>[gr]Transparenz und Mitentscheidung in der Zulieferkette</v>
      </c>
    </row>
    <row r="120" spans="2:12" ht="28.5" customHeight="1">
      <c r="C120" s="485" t="s">
        <v>25</v>
      </c>
      <c r="D120" s="453" t="str">
        <f t="shared" si="5"/>
        <v>Transparenz und Mitentscheidungsrechte für Lieferant*innen</v>
      </c>
      <c r="E120" s="485" t="s">
        <v>1094</v>
      </c>
      <c r="F120" s="454" t="s">
        <v>1095</v>
      </c>
      <c r="G120" s="460" t="s">
        <v>1096</v>
      </c>
      <c r="H120" s="454" t="s">
        <v>1097</v>
      </c>
      <c r="I120" s="454" t="str">
        <f t="shared" si="9"/>
        <v>[fr]Transparenz und Mitentscheidungsrechte für Lieferant*innen</v>
      </c>
      <c r="J120" s="487" t="s">
        <v>1098</v>
      </c>
      <c r="K120" s="454" t="str">
        <f t="shared" si="10"/>
        <v>[gr]Transparenz und Mitentscheidungsrechte für Lieferant*innen</v>
      </c>
    </row>
    <row r="121" spans="2:12" ht="38.85" customHeight="1">
      <c r="C121" s="485" t="s">
        <v>26</v>
      </c>
      <c r="D121" s="453" t="str">
        <f t="shared" si="5"/>
        <v>Positive Einflussnahme auf Transparenz und Mitentscheidung in der gesamten Zulieferkette</v>
      </c>
      <c r="E121" s="485" t="s">
        <v>1099</v>
      </c>
      <c r="F121" s="454" t="s">
        <v>1100</v>
      </c>
      <c r="G121" s="460" t="s">
        <v>1101</v>
      </c>
      <c r="H121" s="454" t="s">
        <v>1102</v>
      </c>
      <c r="I121" s="454" t="str">
        <f t="shared" si="9"/>
        <v>[fr]Positive Einflussnahme auf Transparenz und Mitentscheidung in der gesamten Zulieferkette</v>
      </c>
      <c r="J121" s="487" t="s">
        <v>1103</v>
      </c>
      <c r="K121" s="454" t="str">
        <f t="shared" si="10"/>
        <v>[gr]Positive Einflussnahme auf Transparenz und Mitentscheidung in der gesamten Zulieferkette</v>
      </c>
    </row>
    <row r="122" spans="2:12" ht="28.5" customHeight="1">
      <c r="B122" s="476" t="str">
        <f>C122&amp;": "&amp;D122</f>
        <v>B: Eigentümer*innen und Finanzpartner*innen</v>
      </c>
      <c r="C122" s="477" t="s">
        <v>27</v>
      </c>
      <c r="D122" s="453" t="str">
        <f t="shared" si="5"/>
        <v>Eigentümer*innen und Finanzpartner*innen</v>
      </c>
      <c r="E122" s="488" t="s">
        <v>1104</v>
      </c>
      <c r="F122" s="479" t="s">
        <v>1105</v>
      </c>
      <c r="G122" s="460" t="s">
        <v>1106</v>
      </c>
      <c r="H122" s="454" t="s">
        <v>1107</v>
      </c>
      <c r="I122" s="454" t="str">
        <f t="shared" si="9"/>
        <v>[fr]Eigentümer*innen und Finanzpartner*innen</v>
      </c>
      <c r="J122" s="480" t="s">
        <v>1108</v>
      </c>
      <c r="K122" s="454" t="str">
        <f t="shared" si="10"/>
        <v>[gr]Eigentümer*innen und Finanzpartner*innen</v>
      </c>
    </row>
    <row r="123" spans="2:12" ht="28.5" customHeight="1">
      <c r="B123" s="451" t="str">
        <f>C123&amp;": "&amp;D123</f>
        <v>B1: Ethische Haltung im Umgang mit Geldmitteln</v>
      </c>
      <c r="C123" s="481" t="s">
        <v>28</v>
      </c>
      <c r="D123" s="453" t="str">
        <f t="shared" si="5"/>
        <v>Ethische Haltung im Umgang mit Geldmitteln</v>
      </c>
      <c r="E123" s="482" t="s">
        <v>1109</v>
      </c>
      <c r="F123" s="483" t="s">
        <v>1110</v>
      </c>
      <c r="G123" s="460" t="s">
        <v>1111</v>
      </c>
      <c r="H123" s="454" t="s">
        <v>1112</v>
      </c>
      <c r="I123" s="454" t="str">
        <f t="shared" si="9"/>
        <v>[fr]Ethische Haltung im Umgang mit Geldmitteln</v>
      </c>
      <c r="J123" s="489" t="s">
        <v>1113</v>
      </c>
      <c r="K123" s="474"/>
      <c r="L123" s="474"/>
    </row>
    <row r="124" spans="2:12" ht="28.5" customHeight="1">
      <c r="C124" s="490" t="s">
        <v>29</v>
      </c>
      <c r="D124" s="453" t="str">
        <f t="shared" si="5"/>
        <v>Finanzielle Unabhängigkeit durch Eigenfinanzierung</v>
      </c>
      <c r="E124" s="485" t="s">
        <v>1114</v>
      </c>
      <c r="F124" s="454" t="s">
        <v>1115</v>
      </c>
      <c r="G124" s="460" t="s">
        <v>1116</v>
      </c>
      <c r="H124" s="454" t="s">
        <v>1117</v>
      </c>
      <c r="I124" s="454" t="str">
        <f t="shared" si="9"/>
        <v>[fr]Finanzielle Unabhängigkeit durch Eigenfinanzierung</v>
      </c>
      <c r="J124" s="491" t="s">
        <v>1118</v>
      </c>
      <c r="K124" s="474"/>
      <c r="L124" s="474"/>
    </row>
    <row r="125" spans="2:12" ht="28.5" customHeight="1">
      <c r="C125" s="36" t="s">
        <v>30</v>
      </c>
      <c r="D125" s="453" t="str">
        <f t="shared" si="5"/>
        <v>Gemeinwohlorientierte Fremdfinanzierung</v>
      </c>
      <c r="E125" s="492" t="s">
        <v>1119</v>
      </c>
      <c r="F125" s="454" t="s">
        <v>1120</v>
      </c>
      <c r="G125" s="460" t="s">
        <v>1121</v>
      </c>
      <c r="H125" s="454" t="s">
        <v>1122</v>
      </c>
      <c r="I125" s="454" t="str">
        <f t="shared" si="9"/>
        <v>[fr]Gemeinwohlorientierte Fremdfinanzierung</v>
      </c>
      <c r="J125" s="491" t="s">
        <v>1123</v>
      </c>
      <c r="K125" s="474"/>
      <c r="L125" s="474"/>
    </row>
    <row r="126" spans="2:12" ht="28.5" customHeight="1">
      <c r="C126" s="36" t="s">
        <v>31</v>
      </c>
      <c r="D126" s="453" t="str">
        <f t="shared" si="5"/>
        <v>Ethische Haltung externer Finanzpartner*innen</v>
      </c>
      <c r="E126" s="492" t="s">
        <v>1124</v>
      </c>
      <c r="F126" s="454" t="s">
        <v>1125</v>
      </c>
      <c r="G126" s="460" t="s">
        <v>1126</v>
      </c>
      <c r="H126" s="454" t="s">
        <v>1127</v>
      </c>
      <c r="I126" s="454" t="str">
        <f t="shared" si="9"/>
        <v>[fr]Ethische Haltung externer Finanzpartner*innen</v>
      </c>
      <c r="J126" s="491" t="s">
        <v>1128</v>
      </c>
      <c r="K126" s="474"/>
      <c r="L126" s="474"/>
    </row>
    <row r="127" spans="2:12" ht="28.5" customHeight="1">
      <c r="B127" s="451" t="str">
        <f>C127&amp;": "&amp;D127</f>
        <v>B2: Soziale Haltung im Umgang mit Geldmitteln</v>
      </c>
      <c r="C127" s="481" t="s">
        <v>32</v>
      </c>
      <c r="D127" s="453" t="str">
        <f t="shared" si="5"/>
        <v>Soziale Haltung im Umgang mit Geldmitteln</v>
      </c>
      <c r="E127" s="482" t="s">
        <v>1129</v>
      </c>
      <c r="F127" s="483" t="s">
        <v>1130</v>
      </c>
      <c r="G127" s="460" t="s">
        <v>1131</v>
      </c>
      <c r="H127" s="454" t="s">
        <v>1132</v>
      </c>
      <c r="I127" s="454" t="str">
        <f t="shared" si="9"/>
        <v>[fr]Soziale Haltung im Umgang mit Geldmitteln</v>
      </c>
      <c r="J127" s="489" t="s">
        <v>1133</v>
      </c>
      <c r="K127" s="474"/>
      <c r="L127" s="474"/>
    </row>
    <row r="128" spans="2:12" ht="28.5" customHeight="1">
      <c r="C128" s="490" t="s">
        <v>33</v>
      </c>
      <c r="D128" s="453" t="str">
        <f t="shared" si="5"/>
        <v>Solidarische und gemeinwohlorientierte Mittelverwendung</v>
      </c>
      <c r="E128" s="485" t="s">
        <v>1134</v>
      </c>
      <c r="F128" s="454" t="s">
        <v>1135</v>
      </c>
      <c r="G128" s="460" t="s">
        <v>1136</v>
      </c>
      <c r="H128" s="454" t="s">
        <v>1137</v>
      </c>
      <c r="I128" s="454" t="str">
        <f t="shared" si="9"/>
        <v>[fr]Solidarische und gemeinwohlorientierte Mittelverwendung</v>
      </c>
      <c r="J128" s="491" t="s">
        <v>1138</v>
      </c>
      <c r="K128" s="474"/>
      <c r="L128" s="474"/>
    </row>
    <row r="129" spans="2:12" ht="28.5" customHeight="1">
      <c r="C129" s="36" t="s">
        <v>34</v>
      </c>
      <c r="D129" s="453" t="str">
        <f t="shared" si="5"/>
        <v>Negativ-Aspekt: Unfaire Verteilung von Geldmittel</v>
      </c>
      <c r="E129" s="492" t="s">
        <v>1139</v>
      </c>
      <c r="F129" s="454" t="s">
        <v>1140</v>
      </c>
      <c r="G129" s="460" t="s">
        <v>1141</v>
      </c>
      <c r="H129" s="454" t="s">
        <v>1142</v>
      </c>
      <c r="I129" s="454" t="str">
        <f t="shared" si="9"/>
        <v>[fr]Negativ-Aspekt: Unfaire Verteilung von Geldmittel</v>
      </c>
      <c r="J129" s="491" t="s">
        <v>1143</v>
      </c>
      <c r="K129" s="474"/>
      <c r="L129" s="474"/>
    </row>
    <row r="130" spans="2:12" ht="28.5" customHeight="1">
      <c r="B130" s="451" t="str">
        <f>C130&amp;": "&amp;D130</f>
        <v>B3: Sozial-ökologische Investitionen und Mittelverwendung</v>
      </c>
      <c r="C130" s="481" t="s">
        <v>35</v>
      </c>
      <c r="D130" s="453" t="str">
        <f t="shared" si="5"/>
        <v>Sozial-ökologische Investitionen und Mittelverwendung</v>
      </c>
      <c r="E130" s="482" t="s">
        <v>1144</v>
      </c>
      <c r="F130" s="483" t="s">
        <v>1145</v>
      </c>
      <c r="G130" s="460" t="s">
        <v>1146</v>
      </c>
      <c r="H130" s="454" t="s">
        <v>1147</v>
      </c>
      <c r="I130" s="454" t="str">
        <f t="shared" si="9"/>
        <v>[fr]Sozial-ökologische Investitionen und Mittelverwendung</v>
      </c>
      <c r="J130" s="489" t="s">
        <v>1148</v>
      </c>
      <c r="K130" s="474"/>
      <c r="L130" s="474"/>
    </row>
    <row r="131" spans="2:12" ht="15.75" customHeight="1">
      <c r="C131" s="490" t="s">
        <v>36</v>
      </c>
      <c r="D131" s="453" t="str">
        <f t="shared" si="5"/>
        <v>Ökologische Qualität der Investitionen</v>
      </c>
      <c r="E131" s="485" t="s">
        <v>1149</v>
      </c>
      <c r="F131" s="454" t="s">
        <v>1150</v>
      </c>
      <c r="G131" s="460" t="s">
        <v>1151</v>
      </c>
      <c r="H131" s="454" t="s">
        <v>1152</v>
      </c>
      <c r="I131" s="454" t="str">
        <f t="shared" si="9"/>
        <v>[fr]Ökologische Qualität der Investitionen</v>
      </c>
      <c r="J131" s="491" t="s">
        <v>1153</v>
      </c>
      <c r="K131" s="474"/>
      <c r="L131" s="474"/>
    </row>
    <row r="132" spans="2:12" ht="15.75" customHeight="1">
      <c r="C132" s="36" t="s">
        <v>37</v>
      </c>
      <c r="D132" s="453" t="str">
        <f t="shared" si="5"/>
        <v>Gemeinwohlorientierte Veranlagung</v>
      </c>
      <c r="E132" s="492" t="s">
        <v>1154</v>
      </c>
      <c r="F132" s="454" t="s">
        <v>1155</v>
      </c>
      <c r="G132" s="460" t="s">
        <v>1156</v>
      </c>
      <c r="H132" s="454" t="s">
        <v>1157</v>
      </c>
      <c r="I132" s="454" t="str">
        <f t="shared" si="9"/>
        <v>[fr]Gemeinwohlorientierte Veranlagung</v>
      </c>
      <c r="J132" s="491" t="s">
        <v>1158</v>
      </c>
      <c r="K132" s="474"/>
      <c r="L132" s="474"/>
    </row>
    <row r="133" spans="2:12" ht="28.5" customHeight="1">
      <c r="C133" s="36" t="s">
        <v>38</v>
      </c>
      <c r="D133" s="453" t="str">
        <f t="shared" si="5"/>
        <v>Negativ-Aspekt: Abhängigkeit von ökologisch bedenklichen Ressourcen</v>
      </c>
      <c r="E133" s="492" t="s">
        <v>1159</v>
      </c>
      <c r="F133" s="454" t="s">
        <v>1160</v>
      </c>
      <c r="G133" s="460" t="s">
        <v>1161</v>
      </c>
      <c r="H133" s="454" t="s">
        <v>1162</v>
      </c>
      <c r="I133" s="454" t="str">
        <f t="shared" si="9"/>
        <v>[fr]Negativ-Aspekt: Abhängigkeit von ökologisch bedenklichen Ressourcen</v>
      </c>
      <c r="J133" s="491" t="s">
        <v>1163</v>
      </c>
      <c r="K133" s="474"/>
      <c r="L133" s="474"/>
    </row>
    <row r="134" spans="2:12" ht="28.5" customHeight="1">
      <c r="B134" s="451" t="str">
        <f>C134&amp;": "&amp;D134</f>
        <v>B4: Eigentum und Mitentscheidung</v>
      </c>
      <c r="C134" s="481" t="s">
        <v>39</v>
      </c>
      <c r="D134" s="453" t="str">
        <f t="shared" si="5"/>
        <v>Eigentum und Mitentscheidung</v>
      </c>
      <c r="E134" s="482" t="s">
        <v>1164</v>
      </c>
      <c r="F134" s="483" t="s">
        <v>1165</v>
      </c>
      <c r="G134" s="460" t="s">
        <v>1166</v>
      </c>
      <c r="H134" s="454" t="s">
        <v>1167</v>
      </c>
      <c r="I134" s="454" t="str">
        <f t="shared" si="9"/>
        <v>[fr]Eigentum und Mitentscheidung</v>
      </c>
      <c r="J134" s="489" t="s">
        <v>1168</v>
      </c>
      <c r="K134" s="474"/>
      <c r="L134" s="474"/>
    </row>
    <row r="135" spans="2:12" ht="28.5" customHeight="1">
      <c r="C135" s="490" t="s">
        <v>40</v>
      </c>
      <c r="D135" s="453" t="str">
        <f t="shared" si="5"/>
        <v>Gemeinwohlorientierte Eigentumsstruktur</v>
      </c>
      <c r="E135" s="485" t="s">
        <v>1169</v>
      </c>
      <c r="F135" s="454" t="s">
        <v>1170</v>
      </c>
      <c r="G135" s="460" t="s">
        <v>1171</v>
      </c>
      <c r="H135" s="454" t="s">
        <v>1172</v>
      </c>
      <c r="I135" s="454" t="str">
        <f t="shared" si="9"/>
        <v>[fr]Gemeinwohlorientierte Eigentumsstruktur</v>
      </c>
      <c r="J135" s="491" t="s">
        <v>1173</v>
      </c>
      <c r="K135" s="474"/>
      <c r="L135" s="474"/>
    </row>
    <row r="136" spans="2:12" ht="28.5" customHeight="1">
      <c r="C136" s="36" t="s">
        <v>41</v>
      </c>
      <c r="D136" s="453" t="str">
        <f t="shared" si="5"/>
        <v>Negativ-Aspekt: Feindliche Übernahme</v>
      </c>
      <c r="E136" s="492" t="s">
        <v>1174</v>
      </c>
      <c r="F136" s="454" t="s">
        <v>1175</v>
      </c>
      <c r="G136" s="460" t="s">
        <v>1176</v>
      </c>
      <c r="H136" s="454" t="s">
        <v>1177</v>
      </c>
      <c r="I136" s="454" t="str">
        <f t="shared" si="9"/>
        <v>[fr]Negativ-Aspekt: Feindliche Übernahme</v>
      </c>
      <c r="J136" s="491" t="s">
        <v>1178</v>
      </c>
      <c r="K136" s="474"/>
      <c r="L136" s="474"/>
    </row>
    <row r="137" spans="2:12" ht="15.75" customHeight="1">
      <c r="B137" s="476" t="str">
        <f>C137&amp;": "&amp;D137</f>
        <v>C: Mitarbeitende</v>
      </c>
      <c r="C137" s="477" t="s">
        <v>42</v>
      </c>
      <c r="D137" s="453" t="str">
        <f t="shared" si="5"/>
        <v>Mitarbeitende</v>
      </c>
      <c r="E137" s="488" t="s">
        <v>1179</v>
      </c>
      <c r="F137" s="479" t="s">
        <v>1180</v>
      </c>
      <c r="G137" s="460" t="s">
        <v>1181</v>
      </c>
      <c r="H137" s="454" t="s">
        <v>1182</v>
      </c>
      <c r="I137" s="454" t="str">
        <f t="shared" si="9"/>
        <v>[fr]Mitarbeitende</v>
      </c>
      <c r="J137" s="493" t="s">
        <v>1183</v>
      </c>
      <c r="K137" s="454" t="str">
        <f>"[gr]"&amp;E137</f>
        <v>[gr]Mitarbeitende</v>
      </c>
    </row>
    <row r="138" spans="2:12" ht="28.5" customHeight="1">
      <c r="B138" s="451" t="str">
        <f>C138&amp;": "&amp;D138</f>
        <v>C1: Menschenwürde am Arbeitsplatz</v>
      </c>
      <c r="C138" s="481" t="s">
        <v>43</v>
      </c>
      <c r="D138" s="453" t="str">
        <f t="shared" si="5"/>
        <v>Menschenwürde am Arbeitsplatz</v>
      </c>
      <c r="E138" s="482" t="s">
        <v>1184</v>
      </c>
      <c r="F138" s="483" t="s">
        <v>1185</v>
      </c>
      <c r="G138" s="460" t="s">
        <v>1186</v>
      </c>
      <c r="H138" s="454" t="s">
        <v>1187</v>
      </c>
      <c r="I138" s="454" t="str">
        <f t="shared" si="9"/>
        <v>[fr]Menschenwürde am Arbeitsplatz</v>
      </c>
      <c r="J138" s="489" t="s">
        <v>1188</v>
      </c>
      <c r="K138" s="474"/>
      <c r="L138" s="474"/>
    </row>
    <row r="139" spans="2:12" ht="28.5" customHeight="1">
      <c r="C139" s="485" t="s">
        <v>44</v>
      </c>
      <c r="D139" s="453" t="str">
        <f t="shared" si="5"/>
        <v>Mitarbeiterorientierte Unternehmenskultur</v>
      </c>
      <c r="E139" s="485" t="s">
        <v>1189</v>
      </c>
      <c r="F139" s="454" t="s">
        <v>1190</v>
      </c>
      <c r="G139" s="460" t="s">
        <v>1191</v>
      </c>
      <c r="H139" s="454" t="s">
        <v>1192</v>
      </c>
      <c r="I139" s="454" t="str">
        <f t="shared" si="9"/>
        <v>[fr]Mitarbeiterorientierte Unternehmenskultur</v>
      </c>
      <c r="J139" s="491" t="s">
        <v>1193</v>
      </c>
      <c r="K139" s="474"/>
      <c r="L139" s="474"/>
    </row>
    <row r="140" spans="2:12" ht="28.5" customHeight="1">
      <c r="C140" s="492" t="s">
        <v>45</v>
      </c>
      <c r="D140" s="453" t="str">
        <f t="shared" si="5"/>
        <v>Gesundheitsförderung und Arbeitsschutz</v>
      </c>
      <c r="E140" s="492" t="s">
        <v>1194</v>
      </c>
      <c r="F140" s="454" t="s">
        <v>1195</v>
      </c>
      <c r="G140" s="460" t="s">
        <v>1196</v>
      </c>
      <c r="H140" s="454" t="s">
        <v>1197</v>
      </c>
      <c r="I140" s="454" t="str">
        <f t="shared" si="9"/>
        <v>[fr]Gesundheitsförderung und Arbeitsschutz</v>
      </c>
      <c r="J140" s="491" t="s">
        <v>1198</v>
      </c>
      <c r="K140" s="474"/>
      <c r="L140" s="474"/>
    </row>
    <row r="141" spans="2:12" ht="15.75" customHeight="1">
      <c r="C141" s="492" t="s">
        <v>46</v>
      </c>
      <c r="D141" s="453" t="str">
        <f t="shared" si="5"/>
        <v>Diversität und Chancengleichheit</v>
      </c>
      <c r="E141" s="492" t="s">
        <v>1199</v>
      </c>
      <c r="F141" s="454" t="s">
        <v>1200</v>
      </c>
      <c r="G141" s="460" t="s">
        <v>1201</v>
      </c>
      <c r="H141" s="454" t="s">
        <v>1202</v>
      </c>
      <c r="I141" s="454" t="str">
        <f t="shared" si="9"/>
        <v>[fr]Diversität und Chancengleichheit</v>
      </c>
      <c r="J141" s="491" t="s">
        <v>1203</v>
      </c>
      <c r="K141" s="474"/>
      <c r="L141" s="474"/>
    </row>
    <row r="142" spans="2:12" ht="28.5" customHeight="1">
      <c r="C142" s="494" t="s">
        <v>47</v>
      </c>
      <c r="D142" s="453" t="str">
        <f t="shared" si="5"/>
        <v>Negativ-Aspekt: Menschenunwürdige Arbeitsbedingungen</v>
      </c>
      <c r="E142" s="494" t="s">
        <v>1204</v>
      </c>
      <c r="F142" s="454" t="s">
        <v>1205</v>
      </c>
      <c r="G142" s="460" t="s">
        <v>1206</v>
      </c>
      <c r="H142" s="454" t="s">
        <v>1207</v>
      </c>
      <c r="I142" s="454" t="str">
        <f t="shared" si="9"/>
        <v>[fr]Negativ-Aspekt: Menschenunwürdige Arbeitsbedingungen</v>
      </c>
      <c r="J142" s="491" t="s">
        <v>1208</v>
      </c>
      <c r="K142" s="474"/>
      <c r="L142" s="474"/>
    </row>
    <row r="143" spans="2:12" ht="28.5" customHeight="1">
      <c r="B143" s="451" t="str">
        <f>C143&amp;": "&amp;D143</f>
        <v>C2: Ausgestaltung der Arbeitsverträge</v>
      </c>
      <c r="C143" s="481" t="s">
        <v>48</v>
      </c>
      <c r="D143" s="453" t="str">
        <f t="shared" si="5"/>
        <v>Ausgestaltung der Arbeitsverträge</v>
      </c>
      <c r="E143" s="482" t="s">
        <v>1209</v>
      </c>
      <c r="F143" s="483" t="s">
        <v>3135</v>
      </c>
      <c r="G143" s="460" t="s">
        <v>1210</v>
      </c>
      <c r="H143" s="454" t="s">
        <v>1211</v>
      </c>
      <c r="I143" s="454" t="str">
        <f t="shared" si="9"/>
        <v>[fr]Ausgestaltung der Arbeitsverträge</v>
      </c>
      <c r="J143" s="489" t="s">
        <v>1212</v>
      </c>
      <c r="K143" s="474"/>
      <c r="L143" s="474"/>
    </row>
    <row r="144" spans="2:12" ht="15.75" customHeight="1">
      <c r="C144" s="490" t="s">
        <v>49</v>
      </c>
      <c r="D144" s="453" t="str">
        <f t="shared" si="5"/>
        <v>Ausgestaltung des Verdienstes</v>
      </c>
      <c r="E144" s="485" t="s">
        <v>1213</v>
      </c>
      <c r="F144" s="454" t="s">
        <v>1214</v>
      </c>
      <c r="G144" s="460" t="s">
        <v>1215</v>
      </c>
      <c r="H144" s="454" t="s">
        <v>1216</v>
      </c>
      <c r="I144" s="454" t="str">
        <f t="shared" si="9"/>
        <v>[fr]Ausgestaltung des Verdienstes</v>
      </c>
      <c r="J144" s="491" t="s">
        <v>1217</v>
      </c>
      <c r="K144" s="474"/>
      <c r="L144" s="474"/>
    </row>
    <row r="145" spans="2:12" ht="15.75" customHeight="1">
      <c r="C145" s="36" t="s">
        <v>50</v>
      </c>
      <c r="D145" s="453" t="str">
        <f t="shared" si="5"/>
        <v>Ausgestaltung der Arbeitszeit</v>
      </c>
      <c r="E145" s="492" t="s">
        <v>1218</v>
      </c>
      <c r="F145" s="454" t="s">
        <v>1219</v>
      </c>
      <c r="G145" s="460" t="s">
        <v>1220</v>
      </c>
      <c r="H145" s="454" t="s">
        <v>1221</v>
      </c>
      <c r="I145" s="454" t="str">
        <f t="shared" si="9"/>
        <v>[fr]Ausgestaltung der Arbeitszeit</v>
      </c>
      <c r="J145" s="491" t="s">
        <v>1222</v>
      </c>
      <c r="K145" s="474"/>
      <c r="L145" s="474"/>
    </row>
    <row r="146" spans="2:12" ht="28.5" customHeight="1">
      <c r="C146" s="495" t="s">
        <v>51</v>
      </c>
      <c r="D146" s="453" t="str">
        <f t="shared" si="5"/>
        <v>Ausgestaltung des Arbeitsverhältnisses und Work-Life-Balance</v>
      </c>
      <c r="E146" s="494" t="s">
        <v>1223</v>
      </c>
      <c r="F146" s="454" t="s">
        <v>1224</v>
      </c>
      <c r="G146" s="460" t="s">
        <v>1225</v>
      </c>
      <c r="H146" s="454" t="s">
        <v>1226</v>
      </c>
      <c r="I146" s="454" t="str">
        <f t="shared" si="9"/>
        <v>[fr]Ausgestaltung des Arbeitsverhältnisses und Work-Life-Balance</v>
      </c>
      <c r="J146" s="491" t="s">
        <v>1227</v>
      </c>
      <c r="K146" s="474"/>
      <c r="L146" s="474"/>
    </row>
    <row r="147" spans="2:12" ht="28.5" customHeight="1">
      <c r="C147" s="495" t="s">
        <v>52</v>
      </c>
      <c r="D147" s="453" t="str">
        <f t="shared" si="5"/>
        <v>Negativ-Aspekt: Ungerechte Ausgestaltung der Arbeitsverträge</v>
      </c>
      <c r="E147" s="494" t="s">
        <v>1228</v>
      </c>
      <c r="F147" s="454" t="s">
        <v>1229</v>
      </c>
      <c r="G147" s="460" t="s">
        <v>1230</v>
      </c>
      <c r="H147" s="454" t="s">
        <v>1231</v>
      </c>
      <c r="I147" s="454" t="str">
        <f t="shared" si="9"/>
        <v>[fr]Negativ-Aspekt: Ungerechte Ausgestaltung der Arbeitsverträge</v>
      </c>
      <c r="J147" s="491" t="s">
        <v>1232</v>
      </c>
      <c r="K147" s="474"/>
      <c r="L147" s="474"/>
    </row>
    <row r="148" spans="2:12" ht="41.85" customHeight="1">
      <c r="B148" s="451" t="str">
        <f>C148&amp;": "&amp;D148</f>
        <v>C3: Förderung des ökologischen Verhaltens der Mitarbeitenden</v>
      </c>
      <c r="C148" s="481" t="s">
        <v>53</v>
      </c>
      <c r="D148" s="453" t="str">
        <f t="shared" si="5"/>
        <v>Förderung des ökologischen Verhaltens der Mitarbeitenden</v>
      </c>
      <c r="E148" s="482" t="s">
        <v>1233</v>
      </c>
      <c r="F148" s="483" t="s">
        <v>1234</v>
      </c>
      <c r="G148" s="460" t="s">
        <v>1235</v>
      </c>
      <c r="H148" s="454" t="s">
        <v>1236</v>
      </c>
      <c r="I148" s="454" t="str">
        <f t="shared" si="9"/>
        <v>[fr]Förderung des ökologischen Verhaltens der Mitarbeitenden</v>
      </c>
      <c r="J148" s="489" t="s">
        <v>1237</v>
      </c>
      <c r="K148" s="474"/>
      <c r="L148" s="474"/>
    </row>
    <row r="149" spans="2:12" ht="15.75" customHeight="1">
      <c r="C149" s="490" t="s">
        <v>54</v>
      </c>
      <c r="D149" s="453" t="str">
        <f t="shared" si="5"/>
        <v>Ernährung während der Arbeitszeit</v>
      </c>
      <c r="E149" s="485" t="s">
        <v>1238</v>
      </c>
      <c r="F149" s="454" t="s">
        <v>1239</v>
      </c>
      <c r="G149" s="460" t="s">
        <v>1240</v>
      </c>
      <c r="H149" s="454" t="s">
        <v>1241</v>
      </c>
      <c r="I149" s="454" t="str">
        <f t="shared" si="9"/>
        <v>[fr]Ernährung während der Arbeitszeit</v>
      </c>
      <c r="J149" s="491" t="s">
        <v>1242</v>
      </c>
      <c r="K149" s="474"/>
      <c r="L149" s="474"/>
    </row>
    <row r="150" spans="2:12" ht="15.75" customHeight="1">
      <c r="C150" s="36" t="s">
        <v>55</v>
      </c>
      <c r="D150" s="453" t="str">
        <f t="shared" si="5"/>
        <v>Mobilität zum Arbeitsplatz</v>
      </c>
      <c r="E150" s="492" t="s">
        <v>1243</v>
      </c>
      <c r="F150" s="454" t="s">
        <v>1244</v>
      </c>
      <c r="G150" s="460" t="s">
        <v>1245</v>
      </c>
      <c r="H150" s="454" t="s">
        <v>1246</v>
      </c>
      <c r="I150" s="454" t="str">
        <f t="shared" si="9"/>
        <v>[fr]Mobilität zum Arbeitsplatz</v>
      </c>
      <c r="J150" s="491" t="s">
        <v>1247</v>
      </c>
      <c r="K150" s="474"/>
      <c r="L150" s="474"/>
    </row>
    <row r="151" spans="2:12" ht="28.5" customHeight="1">
      <c r="C151" s="495" t="s">
        <v>56</v>
      </c>
      <c r="D151" s="453" t="str">
        <f t="shared" si="5"/>
        <v>Organisationskultur, Sensibilisierung und unternehmensinterne Prozesse</v>
      </c>
      <c r="E151" s="494" t="s">
        <v>1248</v>
      </c>
      <c r="F151" s="454" t="s">
        <v>1249</v>
      </c>
      <c r="G151" s="460" t="s">
        <v>1250</v>
      </c>
      <c r="H151" s="454" t="s">
        <v>1251</v>
      </c>
      <c r="I151" s="454" t="str">
        <f t="shared" si="9"/>
        <v>[fr]Organisationskultur, Sensibilisierung und unternehmensinterne Prozesse</v>
      </c>
      <c r="J151" s="491" t="s">
        <v>1252</v>
      </c>
      <c r="K151" s="474"/>
      <c r="L151" s="474"/>
    </row>
    <row r="152" spans="2:12" ht="41.85" customHeight="1">
      <c r="C152" s="495" t="s">
        <v>57</v>
      </c>
      <c r="D152" s="453" t="str">
        <f t="shared" si="5"/>
        <v>Negativ-Aspekt: Anleitung zur Verschwendung / Duldung unökologischen Verhaltens</v>
      </c>
      <c r="E152" s="494" t="s">
        <v>1253</v>
      </c>
      <c r="F152" s="454" t="s">
        <v>1254</v>
      </c>
      <c r="G152" s="460" t="s">
        <v>1255</v>
      </c>
      <c r="H152" s="454" t="s">
        <v>1256</v>
      </c>
      <c r="I152" s="454" t="str">
        <f t="shared" si="9"/>
        <v>[fr]Negativ-Aspekt: Anleitung zur Verschwendung / Duldung unökologischen Verhaltens</v>
      </c>
      <c r="J152" s="491" t="s">
        <v>1257</v>
      </c>
      <c r="K152" s="474"/>
      <c r="L152" s="474"/>
    </row>
    <row r="153" spans="2:12" ht="41.85" customHeight="1">
      <c r="B153" s="451" t="str">
        <f>C153&amp;": "&amp;D153</f>
        <v>C4: Innerbetriebliche Mitentscheidung und Transparenz</v>
      </c>
      <c r="C153" s="481" t="s">
        <v>58</v>
      </c>
      <c r="D153" s="453" t="str">
        <f t="shared" si="5"/>
        <v>Innerbetriebliche Mitentscheidung und Transparenz</v>
      </c>
      <c r="E153" s="482" t="str">
        <f>"Innerbetriebliche Mitentscheidung und Transparenz"</f>
        <v>Innerbetriebliche Mitentscheidung und Transparenz</v>
      </c>
      <c r="F153" s="483" t="s">
        <v>1258</v>
      </c>
      <c r="G153" s="460" t="s">
        <v>1259</v>
      </c>
      <c r="H153" s="454" t="s">
        <v>1260</v>
      </c>
      <c r="I153" s="454" t="str">
        <f t="shared" si="9"/>
        <v>[fr]Innerbetriebliche Mitentscheidung und Transparenz</v>
      </c>
      <c r="J153" s="489" t="s">
        <v>1261</v>
      </c>
      <c r="K153" s="474"/>
      <c r="L153" s="474"/>
    </row>
    <row r="154" spans="2:12" ht="15.75" customHeight="1">
      <c r="C154" s="490" t="s">
        <v>59</v>
      </c>
      <c r="D154" s="453" t="str">
        <f t="shared" si="5"/>
        <v>Innerbetriebliche Transparenz</v>
      </c>
      <c r="E154" s="485" t="s">
        <v>1262</v>
      </c>
      <c r="F154" s="454" t="s">
        <v>1263</v>
      </c>
      <c r="G154" s="460" t="s">
        <v>1264</v>
      </c>
      <c r="H154" s="454" t="s">
        <v>1265</v>
      </c>
      <c r="I154" s="454" t="str">
        <f t="shared" si="9"/>
        <v>[fr]Innerbetriebliche Transparenz</v>
      </c>
      <c r="J154" s="491" t="s">
        <v>1266</v>
      </c>
      <c r="K154" s="474"/>
      <c r="L154" s="474"/>
    </row>
    <row r="155" spans="2:12" ht="15.75" customHeight="1">
      <c r="C155" s="36" t="s">
        <v>60</v>
      </c>
      <c r="D155" s="453" t="str">
        <f t="shared" si="5"/>
        <v>Legitimierung der Führungskräfte</v>
      </c>
      <c r="E155" s="492" t="s">
        <v>1267</v>
      </c>
      <c r="F155" s="454" t="s">
        <v>1268</v>
      </c>
      <c r="G155" s="460" t="s">
        <v>1269</v>
      </c>
      <c r="H155" s="454" t="s">
        <v>1270</v>
      </c>
      <c r="I155" s="454" t="str">
        <f t="shared" si="9"/>
        <v>[fr]Legitimierung der Führungskräfte</v>
      </c>
      <c r="J155" s="491" t="s">
        <v>1271</v>
      </c>
      <c r="K155" s="474"/>
      <c r="L155" s="474"/>
    </row>
    <row r="156" spans="2:12" ht="28.5" customHeight="1">
      <c r="C156" s="36" t="s">
        <v>61</v>
      </c>
      <c r="D156" s="453" t="str">
        <f t="shared" si="5"/>
        <v>Mitentscheidung der Mitarbeitenden</v>
      </c>
      <c r="E156" s="492" t="s">
        <v>1272</v>
      </c>
      <c r="F156" s="454" t="s">
        <v>1273</v>
      </c>
      <c r="G156" s="460" t="s">
        <v>1274</v>
      </c>
      <c r="H156" s="454" t="s">
        <v>1275</v>
      </c>
      <c r="I156" s="454" t="str">
        <f t="shared" si="9"/>
        <v>[fr]Mitentscheidung der Mitarbeitenden</v>
      </c>
      <c r="J156" s="491" t="s">
        <v>1276</v>
      </c>
      <c r="K156" s="474"/>
      <c r="L156" s="474"/>
    </row>
    <row r="157" spans="2:12" ht="28.5" customHeight="1">
      <c r="C157" s="48" t="s">
        <v>62</v>
      </c>
      <c r="D157" s="453" t="str">
        <f t="shared" si="5"/>
        <v>Negativ-Aspekt C4.4: Verhinderung des Betriebsrates</v>
      </c>
      <c r="E157" s="496" t="s">
        <v>1277</v>
      </c>
      <c r="F157" s="454" t="s">
        <v>1278</v>
      </c>
      <c r="G157" s="460" t="s">
        <v>1279</v>
      </c>
      <c r="H157" s="454" t="s">
        <v>1280</v>
      </c>
      <c r="I157" s="454" t="str">
        <f t="shared" si="9"/>
        <v>[fr]Negativ-Aspekt C4.4: Verhinderung des Betriebsrates</v>
      </c>
      <c r="J157" s="491" t="s">
        <v>1281</v>
      </c>
      <c r="K157" s="474"/>
      <c r="L157" s="474"/>
    </row>
    <row r="158" spans="2:12" ht="15.75" customHeight="1">
      <c r="B158" s="476" t="str">
        <f>C158&amp;": "&amp;D158</f>
        <v>D: Kund*nnen und Mitunternehmen</v>
      </c>
      <c r="C158" s="477" t="s">
        <v>63</v>
      </c>
      <c r="D158" s="453" t="str">
        <f t="shared" si="5"/>
        <v>Kund*nnen und Mitunternehmen</v>
      </c>
      <c r="E158" s="488" t="s">
        <v>1282</v>
      </c>
      <c r="F158" s="479" t="s">
        <v>1283</v>
      </c>
      <c r="G158" s="460" t="s">
        <v>1284</v>
      </c>
      <c r="H158" s="454" t="s">
        <v>1285</v>
      </c>
      <c r="I158" s="454" t="str">
        <f t="shared" si="9"/>
        <v>[fr]Kund*nnen und Mitunternehmen</v>
      </c>
      <c r="J158" s="493" t="s">
        <v>1286</v>
      </c>
      <c r="K158" s="454" t="str">
        <f>"[gr]"&amp;E158</f>
        <v>[gr]Kund*nnen und Mitunternehmen</v>
      </c>
    </row>
    <row r="159" spans="2:12" ht="28.5" customHeight="1">
      <c r="B159" s="451" t="str">
        <f>C159&amp;": "&amp;D159</f>
        <v>D1: Ethische Kund*innenbeziehungen</v>
      </c>
      <c r="C159" s="481" t="s">
        <v>64</v>
      </c>
      <c r="D159" s="453" t="str">
        <f t="shared" si="5"/>
        <v>Ethische Kund*innenbeziehungen</v>
      </c>
      <c r="E159" s="482" t="s">
        <v>1287</v>
      </c>
      <c r="F159" s="483" t="s">
        <v>1288</v>
      </c>
      <c r="G159" s="460" t="s">
        <v>1289</v>
      </c>
      <c r="H159" s="454" t="s">
        <v>1290</v>
      </c>
      <c r="I159" s="454" t="s">
        <v>1291</v>
      </c>
      <c r="J159" s="489" t="s">
        <v>1292</v>
      </c>
      <c r="K159" s="474"/>
      <c r="L159" s="474"/>
    </row>
    <row r="160" spans="2:12" ht="28.5" customHeight="1">
      <c r="C160" s="485" t="s">
        <v>65</v>
      </c>
      <c r="D160" s="453" t="str">
        <f t="shared" si="5"/>
        <v>Menschenwürdige Kommunikation mit Kund*innen</v>
      </c>
      <c r="E160" s="485" t="s">
        <v>1293</v>
      </c>
      <c r="F160" s="454" t="s">
        <v>1294</v>
      </c>
      <c r="G160" s="460" t="s">
        <v>1295</v>
      </c>
      <c r="H160" s="454" t="s">
        <v>1296</v>
      </c>
      <c r="I160" s="454" t="str">
        <f t="shared" ref="I160:I192" si="11">"[fr]"&amp;E160</f>
        <v>[fr]Menschenwürdige Kommunikation mit Kund*innen</v>
      </c>
      <c r="J160" s="491" t="s">
        <v>1297</v>
      </c>
      <c r="K160" s="474"/>
      <c r="L160" s="474"/>
    </row>
    <row r="161" spans="2:12" ht="15.75" customHeight="1">
      <c r="C161" s="36" t="s">
        <v>66</v>
      </c>
      <c r="D161" s="453" t="str">
        <f t="shared" si="5"/>
        <v>Barrierefreiheit</v>
      </c>
      <c r="E161" s="485" t="s">
        <v>1298</v>
      </c>
      <c r="F161" s="454" t="s">
        <v>1299</v>
      </c>
      <c r="G161" s="460" t="s">
        <v>1300</v>
      </c>
      <c r="H161" s="454" t="s">
        <v>1301</v>
      </c>
      <c r="I161" s="454" t="str">
        <f t="shared" si="11"/>
        <v>[fr]Barrierefreiheit</v>
      </c>
      <c r="J161" s="491" t="s">
        <v>1302</v>
      </c>
      <c r="K161" s="474"/>
      <c r="L161" s="474"/>
    </row>
    <row r="162" spans="2:12" ht="28.5" customHeight="1">
      <c r="C162" s="492" t="s">
        <v>67</v>
      </c>
      <c r="D162" s="453" t="str">
        <f t="shared" si="5"/>
        <v>Negativ-Aspekt: Unethische Werbemaßnahmen</v>
      </c>
      <c r="E162" s="485" t="s">
        <v>1303</v>
      </c>
      <c r="F162" s="454" t="s">
        <v>1304</v>
      </c>
      <c r="G162" s="460" t="s">
        <v>1305</v>
      </c>
      <c r="H162" s="454" t="s">
        <v>1306</v>
      </c>
      <c r="I162" s="454" t="str">
        <f t="shared" si="11"/>
        <v>[fr]Negativ-Aspekt: Unethische Werbemaßnahmen</v>
      </c>
      <c r="J162" s="491" t="s">
        <v>1307</v>
      </c>
      <c r="K162" s="474"/>
      <c r="L162" s="474"/>
    </row>
    <row r="163" spans="2:12" ht="28.5" customHeight="1">
      <c r="B163" s="451" t="str">
        <f>C163&amp;": "&amp;D163</f>
        <v>D2: Kooperation und Solidarität mit Mitunternehmen</v>
      </c>
      <c r="C163" s="481" t="s">
        <v>68</v>
      </c>
      <c r="D163" s="453" t="str">
        <f t="shared" si="5"/>
        <v>Kooperation und Solidarität mit Mitunternehmen</v>
      </c>
      <c r="E163" s="482" t="s">
        <v>1308</v>
      </c>
      <c r="F163" s="483" t="s">
        <v>1309</v>
      </c>
      <c r="G163" s="460" t="s">
        <v>1310</v>
      </c>
      <c r="H163" s="454" t="s">
        <v>1311</v>
      </c>
      <c r="I163" s="454" t="str">
        <f t="shared" si="11"/>
        <v>[fr]Kooperation und Solidarität mit Mitunternehmen</v>
      </c>
      <c r="J163" s="489" t="s">
        <v>1312</v>
      </c>
      <c r="K163" s="474"/>
      <c r="L163" s="474"/>
    </row>
    <row r="164" spans="2:12" ht="15.75" customHeight="1">
      <c r="C164" s="485" t="s">
        <v>69</v>
      </c>
      <c r="D164" s="453" t="str">
        <f t="shared" si="5"/>
        <v>Kooperation mit Mitunternehmen</v>
      </c>
      <c r="E164" s="485" t="s">
        <v>1313</v>
      </c>
      <c r="F164" s="454" t="s">
        <v>1314</v>
      </c>
      <c r="G164" s="460" t="s">
        <v>1315</v>
      </c>
      <c r="H164" s="454" t="s">
        <v>1316</v>
      </c>
      <c r="I164" s="454" t="str">
        <f t="shared" si="11"/>
        <v>[fr]Kooperation mit Mitunternehmen</v>
      </c>
      <c r="J164" s="491" t="s">
        <v>1317</v>
      </c>
      <c r="K164" s="474"/>
      <c r="L164" s="474"/>
    </row>
    <row r="165" spans="2:12" ht="15.75" customHeight="1">
      <c r="C165" s="492" t="s">
        <v>70</v>
      </c>
      <c r="D165" s="453" t="str">
        <f t="shared" si="5"/>
        <v>Solidarität mit Mitunternehmen</v>
      </c>
      <c r="E165" s="485" t="s">
        <v>1318</v>
      </c>
      <c r="F165" s="454" t="s">
        <v>1319</v>
      </c>
      <c r="G165" s="460" t="s">
        <v>1320</v>
      </c>
      <c r="H165" s="454" t="s">
        <v>1321</v>
      </c>
      <c r="I165" s="454" t="str">
        <f t="shared" si="11"/>
        <v>[fr]Solidarität mit Mitunternehmen</v>
      </c>
      <c r="J165" s="491" t="s">
        <v>1322</v>
      </c>
      <c r="K165" s="474"/>
      <c r="L165" s="474"/>
    </row>
    <row r="166" spans="2:12" ht="28.5" customHeight="1">
      <c r="C166" s="494" t="s">
        <v>71</v>
      </c>
      <c r="D166" s="453" t="str">
        <f t="shared" si="5"/>
        <v>Negativ-Aspekt D2.3: Missbrauch der Marktmacht gegenüber Mitunternehmen</v>
      </c>
      <c r="E166" s="497" t="s">
        <v>1323</v>
      </c>
      <c r="F166" s="454" t="s">
        <v>1324</v>
      </c>
      <c r="G166" s="460" t="s">
        <v>1325</v>
      </c>
      <c r="H166" s="454" t="s">
        <v>1326</v>
      </c>
      <c r="I166" s="454" t="str">
        <f t="shared" si="11"/>
        <v>[fr]Negativ-Aspekt D2.3: Missbrauch der Marktmacht gegenüber Mitunternehmen</v>
      </c>
      <c r="J166" s="491" t="s">
        <v>1327</v>
      </c>
      <c r="K166" s="474"/>
      <c r="L166" s="474"/>
    </row>
    <row r="167" spans="2:12" ht="41.85" customHeight="1">
      <c r="B167" s="451" t="str">
        <f>C167&amp;": "&amp;D167</f>
        <v>D3: Ökologische Auswirkung durch Nutzung und Entsorgung von Produkten und Dienstleistungen</v>
      </c>
      <c r="C167" s="481" t="s">
        <v>72</v>
      </c>
      <c r="D167" s="453" t="str">
        <f t="shared" si="5"/>
        <v>Ökologische Auswirkung durch Nutzung und Entsorgung von Produkten und Dienstleistungen</v>
      </c>
      <c r="E167" s="482" t="s">
        <v>1328</v>
      </c>
      <c r="F167" s="483" t="s">
        <v>1329</v>
      </c>
      <c r="G167" s="460" t="s">
        <v>1330</v>
      </c>
      <c r="H167" s="454" t="s">
        <v>1331</v>
      </c>
      <c r="I167" s="454" t="str">
        <f t="shared" si="11"/>
        <v>[fr]Ökologische Auswirkung durch Nutzung und Entsorgung von Produkten und Dienstleistungen</v>
      </c>
      <c r="J167" s="489" t="s">
        <v>1332</v>
      </c>
      <c r="K167" s="474"/>
      <c r="L167" s="474"/>
    </row>
    <row r="168" spans="2:12" ht="41.85" customHeight="1">
      <c r="C168" s="485" t="s">
        <v>73</v>
      </c>
      <c r="D168" s="453" t="str">
        <f t="shared" si="5"/>
        <v>Ökologisches Kosten-Nutzen-Verhältnis von Produkten und Dienstleistungen (Effizienz und Konsistenz)</v>
      </c>
      <c r="E168" s="485" t="s">
        <v>1333</v>
      </c>
      <c r="F168" s="454" t="s">
        <v>1334</v>
      </c>
      <c r="G168" s="460" t="s">
        <v>1335</v>
      </c>
      <c r="H168" s="454" t="s">
        <v>1336</v>
      </c>
      <c r="I168" s="454" t="str">
        <f t="shared" si="11"/>
        <v>[fr]Ökologisches Kosten-Nutzen-Verhältnis von Produkten und Dienstleistungen (Effizienz und Konsistenz)</v>
      </c>
      <c r="J168" s="491" t="s">
        <v>1337</v>
      </c>
      <c r="K168" s="474"/>
      <c r="L168" s="474"/>
    </row>
    <row r="169" spans="2:12" ht="28.5" customHeight="1">
      <c r="C169" s="492" t="s">
        <v>74</v>
      </c>
      <c r="D169" s="453" t="str">
        <f t="shared" si="5"/>
        <v>Maßvolle Nutzung von Produkten und Dienstleistungen (Suffizienz)</v>
      </c>
      <c r="E169" s="485" t="s">
        <v>1338</v>
      </c>
      <c r="F169" s="454" t="s">
        <v>1339</v>
      </c>
      <c r="G169" s="460" t="s">
        <v>1340</v>
      </c>
      <c r="H169" s="454" t="s">
        <v>1341</v>
      </c>
      <c r="I169" s="454" t="str">
        <f t="shared" si="11"/>
        <v>[fr]Maßvolle Nutzung von Produkten und Dienstleistungen (Suffizienz)</v>
      </c>
      <c r="J169" s="491" t="s">
        <v>1342</v>
      </c>
      <c r="K169" s="474"/>
      <c r="L169" s="474"/>
    </row>
    <row r="170" spans="2:12" ht="38.85" customHeight="1">
      <c r="C170" s="494" t="s">
        <v>75</v>
      </c>
      <c r="D170" s="453" t="str">
        <f t="shared" si="5"/>
        <v>Negativ-Aspekt: Bewusste Inkaufnahme unverhältnismäßiger, ökologischer Auswirkungen</v>
      </c>
      <c r="E170" s="497" t="s">
        <v>1343</v>
      </c>
      <c r="F170" s="454" t="s">
        <v>1344</v>
      </c>
      <c r="G170" s="460" t="s">
        <v>1345</v>
      </c>
      <c r="H170" s="454" t="s">
        <v>1346</v>
      </c>
      <c r="I170" s="454" t="str">
        <f t="shared" si="11"/>
        <v>[fr]Negativ-Aspekt: Bewusste Inkaufnahme unverhältnismäßiger, ökologischer Auswirkungen</v>
      </c>
      <c r="J170" s="491" t="s">
        <v>1347</v>
      </c>
      <c r="K170" s="474"/>
      <c r="L170" s="474"/>
    </row>
    <row r="171" spans="2:12" ht="28.5" customHeight="1">
      <c r="B171" s="451" t="str">
        <f>C171&amp;": "&amp;D171</f>
        <v>D4: Kund*innen-Mitwirkung und Produkttransparenz</v>
      </c>
      <c r="C171" s="481" t="s">
        <v>76</v>
      </c>
      <c r="D171" s="453" t="str">
        <f t="shared" si="5"/>
        <v>Kund*innen-Mitwirkung und Produkttransparenz</v>
      </c>
      <c r="E171" s="482" t="s">
        <v>1348</v>
      </c>
      <c r="F171" s="483" t="s">
        <v>1349</v>
      </c>
      <c r="G171" s="460" t="s">
        <v>1350</v>
      </c>
      <c r="H171" s="454" t="s">
        <v>1351</v>
      </c>
      <c r="I171" s="454" t="str">
        <f t="shared" si="11"/>
        <v>[fr]Kund*innen-Mitwirkung und Produkttransparenz</v>
      </c>
      <c r="J171" s="489" t="s">
        <v>1352</v>
      </c>
      <c r="K171" s="474"/>
      <c r="L171" s="474"/>
    </row>
    <row r="172" spans="2:12" ht="28.5" customHeight="1">
      <c r="C172" s="485" t="s">
        <v>77</v>
      </c>
      <c r="D172" s="453" t="str">
        <f t="shared" si="5"/>
        <v>Kund*innen-Mitwirkung, gemeinsame Produktentwicklung und Marktforschung</v>
      </c>
      <c r="E172" s="485" t="s">
        <v>1353</v>
      </c>
      <c r="F172" s="454" t="s">
        <v>1354</v>
      </c>
      <c r="G172" s="460" t="s">
        <v>1355</v>
      </c>
      <c r="H172" s="454" t="s">
        <v>1356</v>
      </c>
      <c r="I172" s="454" t="str">
        <f t="shared" si="11"/>
        <v>[fr]Kund*innen-Mitwirkung, gemeinsame Produktentwicklung und Marktforschung</v>
      </c>
      <c r="J172" s="491" t="s">
        <v>1357</v>
      </c>
      <c r="K172" s="474"/>
      <c r="L172" s="474"/>
    </row>
    <row r="173" spans="2:12" ht="15.75" customHeight="1">
      <c r="C173" s="494" t="s">
        <v>78</v>
      </c>
      <c r="D173" s="453" t="str">
        <f t="shared" si="5"/>
        <v>Produkttransparenz</v>
      </c>
      <c r="E173" s="497" t="s">
        <v>1358</v>
      </c>
      <c r="F173" s="454" t="s">
        <v>1359</v>
      </c>
      <c r="G173" s="460" t="s">
        <v>1360</v>
      </c>
      <c r="H173" s="454" t="s">
        <v>1361</v>
      </c>
      <c r="I173" s="454" t="str">
        <f t="shared" si="11"/>
        <v>[fr]Produkttransparenz</v>
      </c>
      <c r="J173" s="491" t="s">
        <v>1362</v>
      </c>
      <c r="K173" s="474"/>
      <c r="L173" s="474"/>
    </row>
    <row r="174" spans="2:12" ht="28.5" customHeight="1">
      <c r="C174" s="494" t="s">
        <v>78</v>
      </c>
      <c r="D174" s="453" t="str">
        <f t="shared" si="5"/>
        <v>Negativ-Aspekt: Kein Ausweis von Gefahrenstoffen</v>
      </c>
      <c r="E174" s="494" t="s">
        <v>1363</v>
      </c>
      <c r="F174" s="454" t="s">
        <v>1364</v>
      </c>
      <c r="G174" s="460" t="s">
        <v>1365</v>
      </c>
      <c r="H174" s="454" t="s">
        <v>1366</v>
      </c>
      <c r="I174" s="454" t="str">
        <f t="shared" si="11"/>
        <v>[fr]Negativ-Aspekt: Kein Ausweis von Gefahrenstoffen</v>
      </c>
      <c r="J174" s="491" t="s">
        <v>1367</v>
      </c>
      <c r="K174" s="474"/>
      <c r="L174" s="474"/>
    </row>
    <row r="175" spans="2:12" ht="15.75" customHeight="1">
      <c r="B175" s="476" t="str">
        <f>C175&amp;": "&amp;D175</f>
        <v>E: Gesellschaftliches Umfeld</v>
      </c>
      <c r="C175" s="477" t="s">
        <v>79</v>
      </c>
      <c r="D175" s="453" t="str">
        <f t="shared" si="5"/>
        <v>Gesellschaftliches Umfeld</v>
      </c>
      <c r="E175" s="488" t="s">
        <v>1368</v>
      </c>
      <c r="F175" s="479" t="s">
        <v>1369</v>
      </c>
      <c r="G175" s="460" t="s">
        <v>1370</v>
      </c>
      <c r="H175" s="454" t="s">
        <v>1371</v>
      </c>
      <c r="I175" s="454" t="str">
        <f t="shared" si="11"/>
        <v>[fr]Gesellschaftliches Umfeld</v>
      </c>
      <c r="J175" s="493" t="s">
        <v>1372</v>
      </c>
      <c r="K175" s="454" t="str">
        <f>"[gr]"&amp;E175</f>
        <v>[gr]Gesellschaftliches Umfeld</v>
      </c>
    </row>
    <row r="176" spans="2:12" ht="28.5" customHeight="1">
      <c r="B176" s="451" t="str">
        <f>C176&amp;": "&amp;D176</f>
        <v>E1: Sinn und gesellschaftliche Wirkung der Produkte und Dienstleistungen</v>
      </c>
      <c r="C176" s="481" t="s">
        <v>80</v>
      </c>
      <c r="D176" s="453" t="str">
        <f t="shared" si="5"/>
        <v>Sinn und gesellschaftliche Wirkung der Produkte und Dienstleistungen</v>
      </c>
      <c r="E176" s="482" t="s">
        <v>1373</v>
      </c>
      <c r="F176" s="483" t="s">
        <v>1374</v>
      </c>
      <c r="G176" s="460" t="s">
        <v>1375</v>
      </c>
      <c r="H176" s="454" t="s">
        <v>1376</v>
      </c>
      <c r="I176" s="454" t="str">
        <f t="shared" si="11"/>
        <v>[fr]Sinn und gesellschaftliche Wirkung der Produkte und Dienstleistungen</v>
      </c>
      <c r="J176" s="489" t="s">
        <v>1377</v>
      </c>
      <c r="K176" s="498"/>
    </row>
    <row r="177" spans="2:11" ht="28.5" customHeight="1">
      <c r="C177" s="485" t="s">
        <v>81</v>
      </c>
      <c r="D177" s="453" t="str">
        <f t="shared" si="5"/>
        <v>Produkte und Dienstleistungen decken den Grundbedarf und dienen dem guten Leben</v>
      </c>
      <c r="E177" s="485" t="s">
        <v>1378</v>
      </c>
      <c r="F177" s="454" t="s">
        <v>1379</v>
      </c>
      <c r="G177" s="460" t="s">
        <v>1380</v>
      </c>
      <c r="H177" s="454" t="s">
        <v>1381</v>
      </c>
      <c r="I177" s="454" t="str">
        <f t="shared" si="11"/>
        <v>[fr]Produkte und Dienstleistungen decken den Grundbedarf und dienen dem guten Leben</v>
      </c>
      <c r="J177" s="491" t="s">
        <v>1382</v>
      </c>
      <c r="K177" s="474"/>
    </row>
    <row r="178" spans="2:11" ht="28.5" customHeight="1">
      <c r="C178" s="494" t="s">
        <v>82</v>
      </c>
      <c r="D178" s="453" t="str">
        <f t="shared" si="5"/>
        <v>Gesellschaftliche Wirkung der Produkte und Dienstleistungen</v>
      </c>
      <c r="E178" s="494" t="s">
        <v>1383</v>
      </c>
      <c r="F178" s="454" t="s">
        <v>1384</v>
      </c>
      <c r="G178" s="460" t="s">
        <v>1385</v>
      </c>
      <c r="H178" s="454" t="s">
        <v>1386</v>
      </c>
      <c r="I178" s="454" t="str">
        <f t="shared" si="11"/>
        <v>[fr]Gesellschaftliche Wirkung der Produkte und Dienstleistungen</v>
      </c>
      <c r="J178" s="491" t="s">
        <v>1387</v>
      </c>
      <c r="K178" s="474"/>
    </row>
    <row r="179" spans="2:11" ht="28.5" customHeight="1">
      <c r="C179" s="494" t="s">
        <v>83</v>
      </c>
      <c r="D179" s="453" t="str">
        <f t="shared" si="5"/>
        <v>Negativ-Aspekt: Menschenunwürdige Produkte und Dienstleistungen</v>
      </c>
      <c r="E179" s="494" t="s">
        <v>1388</v>
      </c>
      <c r="F179" s="454" t="s">
        <v>1389</v>
      </c>
      <c r="G179" s="460" t="s">
        <v>1390</v>
      </c>
      <c r="H179" s="454" t="s">
        <v>1391</v>
      </c>
      <c r="I179" s="454" t="str">
        <f t="shared" si="11"/>
        <v>[fr]Negativ-Aspekt: Menschenunwürdige Produkte und Dienstleistungen</v>
      </c>
      <c r="J179" s="499" t="s">
        <v>1392</v>
      </c>
      <c r="K179" s="474"/>
    </row>
    <row r="180" spans="2:11" ht="28.5" customHeight="1">
      <c r="B180" s="451" t="str">
        <f>C180&amp;": "&amp;D180</f>
        <v>E2: Beitrag zum Gemeinwesen</v>
      </c>
      <c r="C180" s="481" t="s">
        <v>84</v>
      </c>
      <c r="D180" s="453" t="str">
        <f t="shared" si="5"/>
        <v>Beitrag zum Gemeinwesen</v>
      </c>
      <c r="E180" s="482" t="s">
        <v>1393</v>
      </c>
      <c r="F180" s="483" t="s">
        <v>1394</v>
      </c>
      <c r="G180" s="460" t="s">
        <v>1395</v>
      </c>
      <c r="H180" s="454" t="s">
        <v>1396</v>
      </c>
      <c r="I180" s="454" t="str">
        <f t="shared" si="11"/>
        <v>[fr]Beitrag zum Gemeinwesen</v>
      </c>
      <c r="J180" s="489" t="s">
        <v>1397</v>
      </c>
      <c r="K180" s="474"/>
    </row>
    <row r="181" spans="2:11" ht="15.75" customHeight="1">
      <c r="C181" s="490" t="s">
        <v>85</v>
      </c>
      <c r="D181" s="453" t="str">
        <f t="shared" si="5"/>
        <v>Steuern und Sozialabgaben</v>
      </c>
      <c r="E181" s="485" t="s">
        <v>1398</v>
      </c>
      <c r="F181" s="454" t="s">
        <v>1399</v>
      </c>
      <c r="G181" s="460" t="s">
        <v>1400</v>
      </c>
      <c r="H181" s="454" t="s">
        <v>1401</v>
      </c>
      <c r="I181" s="454" t="str">
        <f t="shared" si="11"/>
        <v>[fr]Steuern und Sozialabgaben</v>
      </c>
      <c r="J181" s="491" t="s">
        <v>1402</v>
      </c>
      <c r="K181" s="474"/>
    </row>
    <row r="182" spans="2:11" ht="28.5" customHeight="1">
      <c r="C182" s="36" t="s">
        <v>86</v>
      </c>
      <c r="D182" s="453" t="str">
        <f t="shared" si="5"/>
        <v>Freiwillige Beiträge zur Stärkung des Gemeinwesens</v>
      </c>
      <c r="E182" s="492" t="s">
        <v>1403</v>
      </c>
      <c r="F182" s="454" t="s">
        <v>1404</v>
      </c>
      <c r="G182" s="460" t="s">
        <v>1405</v>
      </c>
      <c r="H182" s="454" t="s">
        <v>1406</v>
      </c>
      <c r="I182" s="454" t="str">
        <f t="shared" si="11"/>
        <v>[fr]Freiwillige Beiträge zur Stärkung des Gemeinwesens</v>
      </c>
      <c r="J182" s="491" t="s">
        <v>1407</v>
      </c>
      <c r="K182" s="474"/>
    </row>
    <row r="183" spans="2:11" ht="15.75" customHeight="1">
      <c r="C183" s="495" t="s">
        <v>87</v>
      </c>
      <c r="D183" s="500" t="str">
        <f t="shared" si="5"/>
        <v>Negativ-Aspekt: Illegitime Steuervermeidung</v>
      </c>
      <c r="E183" s="494" t="s">
        <v>1408</v>
      </c>
      <c r="F183" s="454" t="s">
        <v>1409</v>
      </c>
      <c r="G183" s="460" t="s">
        <v>1410</v>
      </c>
      <c r="H183" s="454" t="s">
        <v>1411</v>
      </c>
      <c r="I183" s="454" t="str">
        <f t="shared" si="11"/>
        <v>[fr]Negativ-Aspekt: Illegitime Steuervermeidung</v>
      </c>
      <c r="J183" s="491" t="s">
        <v>1412</v>
      </c>
      <c r="K183" s="474"/>
    </row>
    <row r="184" spans="2:11" ht="28.5" customHeight="1">
      <c r="C184" s="495" t="s">
        <v>88</v>
      </c>
      <c r="D184" s="453" t="str">
        <f t="shared" si="5"/>
        <v>Negativ-Aspekt: Mangelnde Korruptionsprävention</v>
      </c>
      <c r="E184" s="494" t="s">
        <v>1413</v>
      </c>
      <c r="F184" s="454" t="s">
        <v>1414</v>
      </c>
      <c r="G184" s="460" t="s">
        <v>1415</v>
      </c>
      <c r="H184" s="454" t="s">
        <v>1416</v>
      </c>
      <c r="I184" s="454" t="str">
        <f t="shared" si="11"/>
        <v>[fr]Negativ-Aspekt: Mangelnde Korruptionsprävention</v>
      </c>
      <c r="J184" s="491" t="s">
        <v>1417</v>
      </c>
      <c r="K184" s="474"/>
    </row>
    <row r="185" spans="2:11" ht="28.5" customHeight="1">
      <c r="B185" s="451" t="str">
        <f>C185&amp;": "&amp;D185</f>
        <v>E3: Reduktion ökologischer Auswirkungen</v>
      </c>
      <c r="C185" s="481" t="s">
        <v>89</v>
      </c>
      <c r="D185" s="453" t="str">
        <f t="shared" si="5"/>
        <v>Reduktion ökologischer Auswirkungen</v>
      </c>
      <c r="E185" s="482" t="s">
        <v>1418</v>
      </c>
      <c r="F185" s="483" t="s">
        <v>1419</v>
      </c>
      <c r="G185" s="460" t="s">
        <v>1420</v>
      </c>
      <c r="H185" s="454" t="s">
        <v>1421</v>
      </c>
      <c r="I185" s="454" t="str">
        <f t="shared" si="11"/>
        <v>[fr]Reduktion ökologischer Auswirkungen</v>
      </c>
      <c r="J185" s="489" t="s">
        <v>1422</v>
      </c>
      <c r="K185" s="474"/>
    </row>
    <row r="186" spans="2:11" ht="28.5" customHeight="1">
      <c r="C186" s="490" t="s">
        <v>90</v>
      </c>
      <c r="D186" s="453" t="str">
        <f t="shared" si="5"/>
        <v>Absolute Auswirkungen / Management &amp; Strategie</v>
      </c>
      <c r="E186" s="485" t="s">
        <v>1423</v>
      </c>
      <c r="F186" s="454" t="s">
        <v>1424</v>
      </c>
      <c r="G186" s="460" t="s">
        <v>1425</v>
      </c>
      <c r="H186" s="454" t="s">
        <v>1426</v>
      </c>
      <c r="I186" s="454" t="str">
        <f t="shared" si="11"/>
        <v>[fr]Absolute Auswirkungen / Management &amp; Strategie</v>
      </c>
      <c r="J186" s="491" t="s">
        <v>1427</v>
      </c>
      <c r="K186" s="474"/>
    </row>
    <row r="187" spans="2:11" ht="15.75" customHeight="1">
      <c r="C187" s="36" t="s">
        <v>91</v>
      </c>
      <c r="D187" s="500" t="str">
        <f t="shared" si="5"/>
        <v>Relative Auswirkungen</v>
      </c>
      <c r="E187" s="492" t="s">
        <v>1428</v>
      </c>
      <c r="F187" s="454" t="s">
        <v>1429</v>
      </c>
      <c r="G187" s="460" t="s">
        <v>1430</v>
      </c>
      <c r="H187" s="454" t="s">
        <v>1431</v>
      </c>
      <c r="I187" s="454" t="str">
        <f t="shared" si="11"/>
        <v>[fr]Relative Auswirkungen</v>
      </c>
      <c r="J187" s="491" t="s">
        <v>1432</v>
      </c>
      <c r="K187" s="474"/>
    </row>
    <row r="188" spans="2:11" ht="41.85" customHeight="1">
      <c r="C188" s="495" t="s">
        <v>92</v>
      </c>
      <c r="D188" s="453" t="str">
        <f t="shared" si="5"/>
        <v>Negativ-Aspekt: Verstöße gegen Umweltauflagen sowie unangemessene Umweltbelastungen</v>
      </c>
      <c r="E188" s="494" t="s">
        <v>1433</v>
      </c>
      <c r="F188" s="454" t="s">
        <v>1434</v>
      </c>
      <c r="G188" s="460" t="s">
        <v>1435</v>
      </c>
      <c r="H188" s="454" t="s">
        <v>1436</v>
      </c>
      <c r="I188" s="454" t="str">
        <f t="shared" si="11"/>
        <v>[fr]Negativ-Aspekt: Verstöße gegen Umweltauflagen sowie unangemessene Umweltbelastungen</v>
      </c>
      <c r="J188" s="491" t="s">
        <v>1437</v>
      </c>
      <c r="K188" s="474"/>
    </row>
    <row r="189" spans="2:11" ht="28.5" customHeight="1">
      <c r="B189" s="451" t="str">
        <f>C189&amp;": "&amp;D189</f>
        <v>E4: Transparenz und gesellschaftliche Mitentscheidung</v>
      </c>
      <c r="C189" s="481" t="s">
        <v>93</v>
      </c>
      <c r="D189" s="453" t="str">
        <f t="shared" si="5"/>
        <v>Transparenz und gesellschaftliche Mitentscheidung</v>
      </c>
      <c r="E189" s="482" t="s">
        <v>1438</v>
      </c>
      <c r="F189" s="483" t="s">
        <v>1439</v>
      </c>
      <c r="G189" s="460" t="s">
        <v>1440</v>
      </c>
      <c r="H189" s="454" t="s">
        <v>1441</v>
      </c>
      <c r="I189" s="454" t="str">
        <f t="shared" si="11"/>
        <v>[fr]Transparenz und gesellschaftliche Mitentscheidung</v>
      </c>
      <c r="J189" s="489" t="s">
        <v>1442</v>
      </c>
      <c r="K189" s="474"/>
    </row>
    <row r="190" spans="2:11" ht="15.75" customHeight="1">
      <c r="C190" s="490" t="s">
        <v>94</v>
      </c>
      <c r="D190" s="453" t="str">
        <f t="shared" si="5"/>
        <v>Transparenz</v>
      </c>
      <c r="E190" s="485" t="s">
        <v>1443</v>
      </c>
      <c r="F190" s="454" t="s">
        <v>1444</v>
      </c>
      <c r="G190" s="460" t="s">
        <v>1445</v>
      </c>
      <c r="H190" s="454" t="s">
        <v>1446</v>
      </c>
      <c r="I190" s="454" t="str">
        <f t="shared" si="11"/>
        <v>[fr]Transparenz</v>
      </c>
      <c r="J190" s="491" t="s">
        <v>1447</v>
      </c>
      <c r="K190" s="474"/>
    </row>
    <row r="191" spans="2:11" ht="28.5" customHeight="1">
      <c r="C191" s="490" t="s">
        <v>95</v>
      </c>
      <c r="D191" s="500" t="str">
        <f t="shared" si="5"/>
        <v>Gesellschaftliche Mitbestimmung</v>
      </c>
      <c r="E191" s="485" t="s">
        <v>1448</v>
      </c>
      <c r="F191" s="454" t="s">
        <v>1449</v>
      </c>
      <c r="G191" s="460" t="s">
        <v>1450</v>
      </c>
      <c r="H191" s="454" t="s">
        <v>1451</v>
      </c>
      <c r="I191" s="454" t="str">
        <f t="shared" si="11"/>
        <v>[fr]Gesellschaftliche Mitbestimmung</v>
      </c>
      <c r="J191" s="491" t="s">
        <v>1452</v>
      </c>
      <c r="K191" s="474"/>
    </row>
    <row r="192" spans="2:11" ht="28.5" customHeight="1">
      <c r="C192" s="490" t="s">
        <v>96</v>
      </c>
      <c r="D192" s="453" t="str">
        <f t="shared" si="5"/>
        <v>Negativ-Aspekt: Förderung von Intransparenz und bewusste Fehlinformation</v>
      </c>
      <c r="E192" s="485" t="s">
        <v>1453</v>
      </c>
      <c r="F192" s="454" t="s">
        <v>1454</v>
      </c>
      <c r="G192" s="460" t="s">
        <v>1455</v>
      </c>
      <c r="H192" s="454" t="s">
        <v>1456</v>
      </c>
      <c r="I192" s="454" t="str">
        <f t="shared" si="11"/>
        <v>[fr]Negativ-Aspekt: Förderung von Intransparenz und bewusste Fehlinformation</v>
      </c>
      <c r="J192" s="491" t="s">
        <v>1457</v>
      </c>
      <c r="K192" s="474"/>
    </row>
    <row r="193" spans="4:11" ht="15.75" customHeight="1">
      <c r="D193" s="453">
        <f t="shared" si="5"/>
        <v>0</v>
      </c>
      <c r="E193" s="454"/>
      <c r="G193" s="460"/>
      <c r="H193" s="454"/>
      <c r="I193" s="454"/>
      <c r="J193" s="454"/>
      <c r="K193" s="454"/>
    </row>
    <row r="194" spans="4:11" ht="15.75" customHeight="1">
      <c r="D194" s="453" t="str">
        <f t="shared" si="5"/>
        <v>Fakten zum Unternehmen</v>
      </c>
      <c r="E194" s="454" t="s">
        <v>1458</v>
      </c>
      <c r="F194" s="454" t="s">
        <v>1459</v>
      </c>
      <c r="G194" s="460" t="s">
        <v>1460</v>
      </c>
      <c r="H194" s="454" t="s">
        <v>1461</v>
      </c>
      <c r="I194" s="454" t="str">
        <f>"[fr]"&amp;E194</f>
        <v>[fr]Fakten zum Unternehmen</v>
      </c>
      <c r="J194" s="454" t="str">
        <f>"[pt]"&amp;E194</f>
        <v>[pt]Fakten zum Unternehmen</v>
      </c>
      <c r="K194" s="454" t="str">
        <f>"[gr]"&amp;E194</f>
        <v>[gr]Fakten zum Unternehmen</v>
      </c>
    </row>
    <row r="195" spans="4:11" ht="121.5" customHeight="1">
      <c r="D195" s="453" t="str">
        <f t="shared" si="5"/>
        <v xml:space="preserve">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c r="E195" s="459" t="s">
        <v>1462</v>
      </c>
      <c r="F195" s="454" t="s">
        <v>1463</v>
      </c>
      <c r="G195" s="460" t="s">
        <v>1464</v>
      </c>
      <c r="H195" s="454" t="s">
        <v>1465</v>
      </c>
      <c r="I195" s="454" t="str">
        <f>"[fr]"&amp;E195</f>
        <v xml:space="preserve">[fr]Bitte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c r="J195" s="454" t="str">
        <f>"[pt]"&amp;E195</f>
        <v xml:space="preserve">[pt]Bitte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c r="K195" s="454" t="str">
        <f>"[gr]"&amp;E195</f>
        <v xml:space="preserve">[gr]Bitte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row>
    <row r="196" spans="4:11" ht="15.75" customHeight="1">
      <c r="D196" s="453">
        <f t="shared" si="5"/>
        <v>0</v>
      </c>
      <c r="E196" s="454"/>
      <c r="G196" s="460"/>
      <c r="H196" s="454"/>
      <c r="I196" s="454"/>
      <c r="J196" s="454"/>
      <c r="K196" s="454"/>
    </row>
    <row r="197" spans="4:11" ht="15.75" customHeight="1">
      <c r="D197" s="453">
        <f t="shared" si="5"/>
        <v>0</v>
      </c>
      <c r="E197" s="454"/>
      <c r="G197" s="460"/>
      <c r="H197" s="454"/>
      <c r="I197" s="454"/>
      <c r="J197" s="454"/>
      <c r="K197" s="454"/>
    </row>
    <row r="198" spans="4:11" ht="15.75" customHeight="1">
      <c r="D198" s="453">
        <f t="shared" si="5"/>
        <v>0</v>
      </c>
      <c r="E198" s="454"/>
      <c r="G198" s="460"/>
      <c r="H198" s="454"/>
      <c r="I198" s="454"/>
      <c r="J198" s="454"/>
      <c r="K198" s="454"/>
    </row>
    <row r="199" spans="4:11" ht="15.75" customHeight="1">
      <c r="D199" s="453">
        <f t="shared" si="5"/>
        <v>0</v>
      </c>
      <c r="E199" s="454"/>
      <c r="G199" s="460"/>
      <c r="H199" s="454"/>
      <c r="I199" s="454"/>
      <c r="J199" s="454"/>
      <c r="K199" s="454"/>
    </row>
    <row r="200" spans="4:11" ht="15.75" customHeight="1">
      <c r="D200" s="453">
        <f t="shared" si="5"/>
        <v>0</v>
      </c>
      <c r="E200" s="454"/>
      <c r="G200" s="460"/>
      <c r="H200" s="454"/>
      <c r="I200" s="454"/>
      <c r="J200" s="454"/>
      <c r="K200" s="454"/>
    </row>
    <row r="201" spans="4:11" ht="15.75" customHeight="1">
      <c r="D201" s="453">
        <f t="shared" si="5"/>
        <v>0</v>
      </c>
      <c r="E201" s="454"/>
      <c r="G201" s="460"/>
      <c r="H201" s="454"/>
      <c r="I201" s="454"/>
      <c r="J201" s="454"/>
      <c r="K201" s="454"/>
    </row>
    <row r="202" spans="4:11" ht="15.75" customHeight="1">
      <c r="D202" s="453" t="str">
        <f t="shared" si="5"/>
        <v>bitte einfügen</v>
      </c>
      <c r="E202" s="454" t="s">
        <v>1466</v>
      </c>
      <c r="F202" s="454" t="s">
        <v>1467</v>
      </c>
      <c r="G202" s="460" t="s">
        <v>1468</v>
      </c>
      <c r="H202" s="454" t="s">
        <v>1469</v>
      </c>
      <c r="I202" s="454" t="str">
        <f t="shared" ref="I202:I338" si="12">"[fr]"&amp;E202</f>
        <v>[fr]bitte einfügen</v>
      </c>
      <c r="J202" s="454" t="str">
        <f t="shared" ref="J202:J456" si="13">"[pt]"&amp;E202</f>
        <v>[pt]bitte einfügen</v>
      </c>
      <c r="K202" s="454" t="str">
        <f t="shared" ref="K202:K456" si="14">"[gr]"&amp;E202</f>
        <v>[gr]bitte einfügen</v>
      </c>
    </row>
    <row r="203" spans="4:11" ht="15.75" customHeight="1">
      <c r="D203" s="453" t="str">
        <f t="shared" si="5"/>
        <v>Bitte Auswählen</v>
      </c>
      <c r="E203" s="454" t="s">
        <v>1470</v>
      </c>
      <c r="F203" s="454" t="s">
        <v>1471</v>
      </c>
      <c r="G203" s="460" t="s">
        <v>1472</v>
      </c>
      <c r="H203" s="454" t="s">
        <v>1473</v>
      </c>
      <c r="I203" s="454" t="str">
        <f t="shared" si="12"/>
        <v>[fr]Bitte Auswählen</v>
      </c>
      <c r="J203" s="454" t="str">
        <f t="shared" si="13"/>
        <v>[pt]Bitte Auswählen</v>
      </c>
      <c r="K203" s="454" t="str">
        <f t="shared" si="14"/>
        <v>[gr]Bitte Auswählen</v>
      </c>
    </row>
    <row r="204" spans="4:11" ht="15.75" customHeight="1">
      <c r="D204" s="453" t="str">
        <f t="shared" si="5"/>
        <v>Beschreibung des Gewichtungsmodelles</v>
      </c>
      <c r="E204" s="454" t="s">
        <v>1474</v>
      </c>
      <c r="F204" s="454" t="s">
        <v>1475</v>
      </c>
      <c r="G204" s="460" t="s">
        <v>1476</v>
      </c>
      <c r="H204" s="454" t="s">
        <v>1477</v>
      </c>
      <c r="I204" s="454" t="str">
        <f t="shared" si="12"/>
        <v>[fr]Beschreibung des Gewichtungsmodelles</v>
      </c>
      <c r="J204" s="454" t="str">
        <f t="shared" si="13"/>
        <v>[pt]Beschreibung des Gewichtungsmodelles</v>
      </c>
      <c r="K204" s="454" t="str">
        <f t="shared" si="14"/>
        <v>[gr]Beschreibung des Gewichtungsmodelles</v>
      </c>
    </row>
    <row r="205" spans="4:11" ht="15.75" customHeight="1">
      <c r="D205" s="453" t="str">
        <f t="shared" si="5"/>
        <v>Themen</v>
      </c>
      <c r="E205" s="454" t="s">
        <v>1478</v>
      </c>
      <c r="F205" s="454" t="s">
        <v>1479</v>
      </c>
      <c r="G205" s="460" t="s">
        <v>1480</v>
      </c>
      <c r="H205" s="454" t="s">
        <v>1481</v>
      </c>
      <c r="I205" s="454" t="str">
        <f t="shared" si="12"/>
        <v>[fr]Themen</v>
      </c>
      <c r="J205" s="454" t="str">
        <f t="shared" si="13"/>
        <v>[pt]Themen</v>
      </c>
      <c r="K205" s="454" t="str">
        <f t="shared" si="14"/>
        <v>[gr]Themen</v>
      </c>
    </row>
    <row r="206" spans="4:11" ht="28.5" customHeight="1">
      <c r="D206" s="453" t="str">
        <f t="shared" si="5"/>
        <v>Werte ►
Berührungsgruppe ▼</v>
      </c>
      <c r="E206" s="501" t="s">
        <v>1482</v>
      </c>
      <c r="F206" s="501" t="s">
        <v>1483</v>
      </c>
      <c r="G206" s="501" t="s">
        <v>1484</v>
      </c>
      <c r="H206" s="454" t="s">
        <v>1485</v>
      </c>
      <c r="I206" s="454" t="str">
        <f t="shared" si="12"/>
        <v>[fr]Werte ►
Berührungsgruppe ▼</v>
      </c>
      <c r="J206" s="454" t="str">
        <f t="shared" si="13"/>
        <v>[pt]Werte ►
Berührungsgruppe ▼</v>
      </c>
      <c r="K206" s="454" t="str">
        <f t="shared" si="14"/>
        <v>[gr]Werte ►
Berührungsgruppe ▼</v>
      </c>
    </row>
    <row r="207" spans="4:11" ht="15.75" customHeight="1">
      <c r="D207" s="453" t="str">
        <f t="shared" si="5"/>
        <v>Berührungsgruppen &amp; Werte</v>
      </c>
      <c r="E207" s="454" t="s">
        <v>1486</v>
      </c>
      <c r="F207" s="501" t="s">
        <v>1487</v>
      </c>
      <c r="G207" s="502" t="s">
        <v>1488</v>
      </c>
      <c r="H207" s="454" t="s">
        <v>1489</v>
      </c>
      <c r="I207" s="454" t="str">
        <f t="shared" si="12"/>
        <v>[fr]Berührungsgruppen &amp; Werte</v>
      </c>
      <c r="J207" s="454" t="str">
        <f t="shared" si="13"/>
        <v>[pt]Berührungsgruppen &amp; Werte</v>
      </c>
      <c r="K207" s="454" t="str">
        <f t="shared" si="14"/>
        <v>[gr]Berührungsgruppen &amp; Werte</v>
      </c>
    </row>
    <row r="208" spans="4:11" ht="15.75" customHeight="1">
      <c r="D208" s="453" t="str">
        <f t="shared" si="5"/>
        <v>Allgemein</v>
      </c>
      <c r="E208" s="454" t="s">
        <v>1490</v>
      </c>
      <c r="F208" s="454" t="s">
        <v>1491</v>
      </c>
      <c r="G208" s="460" t="s">
        <v>1492</v>
      </c>
      <c r="H208" s="454" t="s">
        <v>1492</v>
      </c>
      <c r="I208" s="454" t="str">
        <f t="shared" si="12"/>
        <v>[fr]Allgemein</v>
      </c>
      <c r="J208" s="454" t="str">
        <f t="shared" si="13"/>
        <v>[pt]Allgemein</v>
      </c>
      <c r="K208" s="454" t="str">
        <f t="shared" si="14"/>
        <v>[gr]Allgemein</v>
      </c>
    </row>
    <row r="209" spans="4:11" ht="15.75" customHeight="1">
      <c r="D209" s="453" t="str">
        <f t="shared" si="5"/>
        <v>Anmerkungen</v>
      </c>
      <c r="E209" s="454" t="s">
        <v>1493</v>
      </c>
      <c r="F209" s="454" t="s">
        <v>1494</v>
      </c>
      <c r="G209" s="460" t="s">
        <v>1495</v>
      </c>
      <c r="H209" s="454" t="s">
        <v>1496</v>
      </c>
      <c r="I209" s="454" t="str">
        <f t="shared" si="12"/>
        <v>[fr]Anmerkungen</v>
      </c>
      <c r="J209" s="454" t="str">
        <f t="shared" si="13"/>
        <v>[pt]Anmerkungen</v>
      </c>
      <c r="K209" s="454" t="str">
        <f t="shared" si="14"/>
        <v>[gr]Anmerkungen</v>
      </c>
    </row>
    <row r="210" spans="4:11" ht="15.75" customHeight="1">
      <c r="D210" s="453" t="str">
        <f t="shared" si="5"/>
        <v xml:space="preserve"> (für EPUs skaliert)</v>
      </c>
      <c r="E210" s="454" t="s">
        <v>1497</v>
      </c>
      <c r="F210" s="454" t="s">
        <v>1498</v>
      </c>
      <c r="G210" s="460" t="s">
        <v>1499</v>
      </c>
      <c r="H210" s="454" t="s">
        <v>1500</v>
      </c>
      <c r="I210" s="454" t="str">
        <f t="shared" si="12"/>
        <v>[fr] (für EPUs skaliert)</v>
      </c>
      <c r="J210" s="454" t="str">
        <f t="shared" si="13"/>
        <v>[pt] (für EPUs skaliert)</v>
      </c>
      <c r="K210" s="454" t="str">
        <f t="shared" si="14"/>
        <v>[gr] (für EPUs skaliert)</v>
      </c>
    </row>
    <row r="211" spans="4:11" ht="15.75" customHeight="1">
      <c r="D211" s="453" t="str">
        <f t="shared" si="5"/>
        <v xml:space="preserve"> (für EPUs nicht relevant)</v>
      </c>
      <c r="E211" s="454" t="s">
        <v>1501</v>
      </c>
      <c r="F211" s="454" t="s">
        <v>1502</v>
      </c>
      <c r="G211" s="460" t="s">
        <v>1503</v>
      </c>
      <c r="H211" s="454" t="s">
        <v>1504</v>
      </c>
      <c r="I211" s="454" t="str">
        <f t="shared" si="12"/>
        <v>[fr] (für EPUs nicht relevant)</v>
      </c>
      <c r="J211" s="454" t="str">
        <f t="shared" si="13"/>
        <v>[pt] (für EPUs nicht relevant)</v>
      </c>
      <c r="K211" s="454" t="str">
        <f t="shared" si="14"/>
        <v>[gr] (für EPUs nicht relevant)</v>
      </c>
    </row>
    <row r="212" spans="4:11" ht="15.75" customHeight="1">
      <c r="D212" s="453" t="str">
        <f t="shared" si="5"/>
        <v>Anmerkung: Dies ist kein Testat.</v>
      </c>
      <c r="E212" s="454" t="s">
        <v>1505</v>
      </c>
      <c r="F212" s="454" t="s">
        <v>1506</v>
      </c>
      <c r="G212" s="460" t="s">
        <v>1507</v>
      </c>
      <c r="H212" s="454" t="s">
        <v>1508</v>
      </c>
      <c r="I212" s="454" t="str">
        <f t="shared" si="12"/>
        <v>[fr]Anmerkung: Dies ist kein Testat.</v>
      </c>
      <c r="J212" s="454" t="str">
        <f t="shared" si="13"/>
        <v>[pt]Anmerkung: Dies ist kein Testat.</v>
      </c>
      <c r="K212" s="454" t="str">
        <f t="shared" si="14"/>
        <v>[gr]Anmerkung: Dies ist kein Testat.</v>
      </c>
    </row>
    <row r="213" spans="4:11" ht="15.75" customHeight="1">
      <c r="D213" s="453" t="str">
        <f t="shared" si="5"/>
        <v>GEMEINWOHL-MATRIX</v>
      </c>
      <c r="E213" s="454" t="s">
        <v>1509</v>
      </c>
      <c r="F213" s="454" t="s">
        <v>1510</v>
      </c>
      <c r="G213" s="460" t="s">
        <v>1511</v>
      </c>
      <c r="H213" s="454" t="s">
        <v>1512</v>
      </c>
      <c r="I213" s="454" t="str">
        <f t="shared" si="12"/>
        <v>[fr]GEMEINWOHL-MATRIX</v>
      </c>
      <c r="J213" s="454" t="str">
        <f t="shared" si="13"/>
        <v>[pt]GEMEINWOHL-MATRIX</v>
      </c>
      <c r="K213" s="454" t="str">
        <f t="shared" si="14"/>
        <v>[gr]GEMEINWOHL-MATRIX</v>
      </c>
    </row>
    <row r="214" spans="4:11" ht="15.75" customHeight="1">
      <c r="D214" s="453" t="str">
        <f t="shared" si="5"/>
        <v xml:space="preserve"> von </v>
      </c>
      <c r="E214" s="454" t="s">
        <v>1513</v>
      </c>
      <c r="F214" s="454" t="s">
        <v>1514</v>
      </c>
      <c r="G214" s="460" t="s">
        <v>1515</v>
      </c>
      <c r="H214" s="454" t="s">
        <v>1516</v>
      </c>
      <c r="I214" s="454" t="str">
        <f t="shared" si="12"/>
        <v xml:space="preserve">[fr] von </v>
      </c>
      <c r="J214" s="454" t="str">
        <f t="shared" si="13"/>
        <v xml:space="preserve">[pt] von </v>
      </c>
      <c r="K214" s="454" t="str">
        <f t="shared" si="14"/>
        <v xml:space="preserve">[gr] von </v>
      </c>
    </row>
    <row r="215" spans="4:11" ht="15.75" customHeight="1">
      <c r="D215" s="453" t="str">
        <f t="shared" si="5"/>
        <v xml:space="preserve"> Punkten</v>
      </c>
      <c r="E215" s="454" t="s">
        <v>1517</v>
      </c>
      <c r="F215" s="454" t="s">
        <v>1518</v>
      </c>
      <c r="G215" s="460" t="s">
        <v>1519</v>
      </c>
      <c r="H215" s="454" t="s">
        <v>3200</v>
      </c>
      <c r="I215" s="454" t="str">
        <f t="shared" si="12"/>
        <v>[fr] Punkten</v>
      </c>
      <c r="J215" s="454" t="str">
        <f t="shared" si="13"/>
        <v>[pt] Punkten</v>
      </c>
      <c r="K215" s="454" t="str">
        <f t="shared" si="14"/>
        <v>[gr] Punkten</v>
      </c>
    </row>
    <row r="216" spans="4:11" ht="15.75" customHeight="1">
      <c r="D216" s="453" t="str">
        <f t="shared" si="5"/>
        <v>Menschenwürde</v>
      </c>
      <c r="E216" s="454" t="s">
        <v>1520</v>
      </c>
      <c r="F216" s="454" t="s">
        <v>1521</v>
      </c>
      <c r="G216" s="460" t="s">
        <v>1522</v>
      </c>
      <c r="H216" s="454" t="s">
        <v>1523</v>
      </c>
      <c r="I216" s="454" t="str">
        <f t="shared" si="12"/>
        <v>[fr]Menschenwürde</v>
      </c>
      <c r="J216" s="454" t="str">
        <f t="shared" si="13"/>
        <v>[pt]Menschenwürde</v>
      </c>
      <c r="K216" s="454" t="str">
        <f t="shared" si="14"/>
        <v>[gr]Menschenwürde</v>
      </c>
    </row>
    <row r="217" spans="4:11" ht="15.75" customHeight="1">
      <c r="D217" s="453" t="str">
        <f t="shared" si="5"/>
        <v>Solidarität &amp; Gerechtigkeit</v>
      </c>
      <c r="E217" s="454" t="s">
        <v>1524</v>
      </c>
      <c r="F217" s="454" t="s">
        <v>1525</v>
      </c>
      <c r="G217" s="460" t="s">
        <v>1526</v>
      </c>
      <c r="H217" s="454" t="s">
        <v>1527</v>
      </c>
      <c r="I217" s="454" t="str">
        <f t="shared" si="12"/>
        <v>[fr]Solidarität &amp; Gerechtigkeit</v>
      </c>
      <c r="J217" s="454" t="str">
        <f t="shared" si="13"/>
        <v>[pt]Solidarität &amp; Gerechtigkeit</v>
      </c>
      <c r="K217" s="454" t="str">
        <f t="shared" si="14"/>
        <v>[gr]Solidarität &amp; Gerechtigkeit</v>
      </c>
    </row>
    <row r="218" spans="4:11" ht="15.75" customHeight="1">
      <c r="D218" s="453" t="str">
        <f t="shared" si="5"/>
        <v>Ökologische Nachhaltigkeit</v>
      </c>
      <c r="E218" s="454" t="s">
        <v>1528</v>
      </c>
      <c r="F218" s="454" t="s">
        <v>1529</v>
      </c>
      <c r="G218" s="460" t="s">
        <v>1530</v>
      </c>
      <c r="H218" s="454" t="s">
        <v>1531</v>
      </c>
      <c r="I218" s="454" t="str">
        <f t="shared" si="12"/>
        <v>[fr]Ökologische Nachhaltigkeit</v>
      </c>
      <c r="J218" s="454" t="str">
        <f t="shared" si="13"/>
        <v>[pt]Ökologische Nachhaltigkeit</v>
      </c>
      <c r="K218" s="454" t="str">
        <f t="shared" si="14"/>
        <v>[gr]Ökologische Nachhaltigkeit</v>
      </c>
    </row>
    <row r="219" spans="4:11" ht="15.75" customHeight="1">
      <c r="D219" s="453" t="str">
        <f t="shared" si="5"/>
        <v>Transparenz &amp; Mitentscheidung</v>
      </c>
      <c r="E219" s="454" t="s">
        <v>1532</v>
      </c>
      <c r="F219" s="454" t="s">
        <v>1533</v>
      </c>
      <c r="G219" s="460" t="s">
        <v>1534</v>
      </c>
      <c r="H219" s="454" t="s">
        <v>1535</v>
      </c>
      <c r="I219" s="454" t="str">
        <f t="shared" si="12"/>
        <v>[fr]Transparenz &amp; Mitentscheidung</v>
      </c>
      <c r="J219" s="454" t="str">
        <f t="shared" si="13"/>
        <v>[pt]Transparenz &amp; Mitentscheidung</v>
      </c>
      <c r="K219" s="454" t="str">
        <f t="shared" si="14"/>
        <v>[gr]Transparenz &amp; Mitentscheidung</v>
      </c>
    </row>
    <row r="220" spans="4:11" ht="15.75" customHeight="1">
      <c r="D220" s="453" t="str">
        <f t="shared" si="5"/>
        <v>Gemeinwohl-Stern für</v>
      </c>
      <c r="E220" s="454" t="s">
        <v>1536</v>
      </c>
      <c r="F220" s="454" t="s">
        <v>1537</v>
      </c>
      <c r="G220" s="460" t="s">
        <v>1538</v>
      </c>
      <c r="H220" s="454" t="s">
        <v>1539</v>
      </c>
      <c r="I220" s="454" t="str">
        <f t="shared" si="12"/>
        <v>[fr]Gemeinwohl-Stern für</v>
      </c>
      <c r="J220" s="454" t="str">
        <f t="shared" si="13"/>
        <v>[pt]Gemeinwohl-Stern für</v>
      </c>
      <c r="K220" s="454" t="str">
        <f t="shared" si="14"/>
        <v>[gr]Gemeinwohl-Stern für</v>
      </c>
    </row>
    <row r="221" spans="4:11" ht="15.75" customHeight="1">
      <c r="D221" s="453" t="str">
        <f t="shared" si="5"/>
        <v>BILANZ-ÜBERSICHT</v>
      </c>
      <c r="E221" s="454" t="s">
        <v>1540</v>
      </c>
      <c r="F221" s="454" t="s">
        <v>1541</v>
      </c>
      <c r="G221" s="460" t="s">
        <v>1542</v>
      </c>
      <c r="H221" s="454" t="s">
        <v>1543</v>
      </c>
      <c r="I221" s="454" t="str">
        <f t="shared" si="12"/>
        <v>[fr]BILANZ-ÜBERSICHT</v>
      </c>
      <c r="J221" s="454" t="str">
        <f t="shared" si="13"/>
        <v>[pt]BILANZ-ÜBERSICHT</v>
      </c>
      <c r="K221" s="454" t="str">
        <f t="shared" si="14"/>
        <v>[gr]BILANZ-ÜBERSICHT</v>
      </c>
    </row>
    <row r="222" spans="4:11" ht="15.75" customHeight="1">
      <c r="D222" s="453" t="str">
        <f t="shared" si="5"/>
        <v>MITBESTIMMUNG UND TRANSPARENZ</v>
      </c>
      <c r="E222" s="454" t="s">
        <v>1544</v>
      </c>
      <c r="F222" s="454" t="s">
        <v>1545</v>
      </c>
      <c r="G222" s="460" t="s">
        <v>1546</v>
      </c>
      <c r="H222" s="454" t="s">
        <v>1547</v>
      </c>
      <c r="I222" s="454" t="str">
        <f t="shared" si="12"/>
        <v>[fr]MITBESTIMMUNG UND TRANSPARENZ</v>
      </c>
      <c r="J222" s="454" t="str">
        <f t="shared" si="13"/>
        <v>[pt]MITBESTIMMUNG UND TRANSPARENZ</v>
      </c>
      <c r="K222" s="454" t="str">
        <f t="shared" si="14"/>
        <v>[gr]MITBESTIMMUNG UND TRANSPARENZ</v>
      </c>
    </row>
    <row r="223" spans="4:11" ht="15.75" customHeight="1">
      <c r="D223" s="453" t="str">
        <f t="shared" si="5"/>
        <v>MENSCHENWÜRDE</v>
      </c>
      <c r="E223" s="454" t="s">
        <v>1548</v>
      </c>
      <c r="F223" s="454" t="s">
        <v>1549</v>
      </c>
      <c r="G223" s="460" t="s">
        <v>1550</v>
      </c>
      <c r="H223" s="454" t="s">
        <v>1551</v>
      </c>
      <c r="I223" s="454" t="str">
        <f t="shared" si="12"/>
        <v>[fr]MENSCHENWÜRDE</v>
      </c>
      <c r="J223" s="454" t="str">
        <f t="shared" si="13"/>
        <v>[pt]MENSCHENWÜRDE</v>
      </c>
      <c r="K223" s="454" t="str">
        <f t="shared" si="14"/>
        <v>[gr]MENSCHENWÜRDE</v>
      </c>
    </row>
    <row r="224" spans="4:11" ht="15.75" customHeight="1">
      <c r="D224" s="453" t="str">
        <f t="shared" si="5"/>
        <v>SOLIDARITÄT</v>
      </c>
      <c r="E224" s="454" t="s">
        <v>1552</v>
      </c>
      <c r="F224" s="454" t="s">
        <v>1553</v>
      </c>
      <c r="G224" s="460" t="s">
        <v>1554</v>
      </c>
      <c r="H224" s="454" t="s">
        <v>1555</v>
      </c>
      <c r="I224" s="454" t="str">
        <f t="shared" si="12"/>
        <v>[fr]SOLIDARITÄT</v>
      </c>
      <c r="J224" s="454" t="str">
        <f t="shared" si="13"/>
        <v>[pt]SOLIDARITÄT</v>
      </c>
      <c r="K224" s="454" t="str">
        <f t="shared" si="14"/>
        <v>[gr]SOLIDARITÄT</v>
      </c>
    </row>
    <row r="225" spans="3:11" ht="15.75" customHeight="1">
      <c r="D225" s="453" t="str">
        <f t="shared" si="5"/>
        <v>ÖKOLOGISCHE NACHHALTIGKEIT</v>
      </c>
      <c r="E225" s="454" t="s">
        <v>1556</v>
      </c>
      <c r="F225" s="454" t="s">
        <v>1557</v>
      </c>
      <c r="G225" s="460" t="s">
        <v>1558</v>
      </c>
      <c r="H225" s="454" t="s">
        <v>1559</v>
      </c>
      <c r="I225" s="454" t="str">
        <f t="shared" si="12"/>
        <v>[fr]ÖKOLOGISCHE NACHHALTIGKEIT</v>
      </c>
      <c r="J225" s="454" t="str">
        <f t="shared" si="13"/>
        <v>[pt]ÖKOLOGISCHE NACHHALTIGKEIT</v>
      </c>
      <c r="K225" s="454" t="str">
        <f t="shared" si="14"/>
        <v>[gr]ÖKOLOGISCHE NACHHALTIGKEIT</v>
      </c>
    </row>
    <row r="226" spans="3:11" ht="15.75" customHeight="1">
      <c r="D226" s="453" t="str">
        <f t="shared" si="5"/>
        <v>SOZIALE GERECHTIGKEIT</v>
      </c>
      <c r="E226" s="454" t="s">
        <v>1560</v>
      </c>
      <c r="F226" s="454" t="s">
        <v>1561</v>
      </c>
      <c r="G226" s="460" t="s">
        <v>1562</v>
      </c>
      <c r="H226" s="454" t="s">
        <v>1563</v>
      </c>
      <c r="I226" s="454" t="str">
        <f t="shared" si="12"/>
        <v>[fr]SOZIALE GERECHTIGKEIT</v>
      </c>
      <c r="J226" s="454" t="str">
        <f t="shared" si="13"/>
        <v>[pt]SOZIALE GERECHTIGKEIT</v>
      </c>
      <c r="K226" s="454" t="str">
        <f t="shared" si="14"/>
        <v>[gr]SOZIALE GERECHTIGKEIT</v>
      </c>
    </row>
    <row r="227" spans="3:11" ht="15.75" customHeight="1">
      <c r="D227" s="453" t="str">
        <f t="shared" si="5"/>
        <v>MITBESTIMMUNG UND TRANSPARENZ</v>
      </c>
      <c r="E227" s="454" t="s">
        <v>1544</v>
      </c>
      <c r="F227" s="454" t="s">
        <v>1545</v>
      </c>
      <c r="G227" s="460" t="s">
        <v>1546</v>
      </c>
      <c r="H227" s="454" t="s">
        <v>1547</v>
      </c>
      <c r="I227" s="454" t="str">
        <f t="shared" si="12"/>
        <v>[fr]MITBESTIMMUNG UND TRANSPARENZ</v>
      </c>
      <c r="J227" s="454" t="str">
        <f t="shared" si="13"/>
        <v>[pt]MITBESTIMMUNG UND TRANSPARENZ</v>
      </c>
      <c r="K227" s="454" t="str">
        <f t="shared" si="14"/>
        <v>[gr]MITBESTIMMUNG UND TRANSPARENZ</v>
      </c>
    </row>
    <row r="228" spans="3:11" ht="15.75" customHeight="1">
      <c r="D228" s="453" t="str">
        <f t="shared" si="5"/>
        <v>SUMME</v>
      </c>
      <c r="E228" s="454" t="s">
        <v>1564</v>
      </c>
      <c r="F228" s="454" t="s">
        <v>1565</v>
      </c>
      <c r="G228" s="460" t="s">
        <v>1566</v>
      </c>
      <c r="H228" s="454" t="s">
        <v>1566</v>
      </c>
      <c r="I228" s="454" t="str">
        <f t="shared" si="12"/>
        <v>[fr]SUMME</v>
      </c>
      <c r="J228" s="454" t="str">
        <f t="shared" si="13"/>
        <v>[pt]SUMME</v>
      </c>
      <c r="K228" s="454" t="str">
        <f t="shared" si="14"/>
        <v>[gr]SUMME</v>
      </c>
    </row>
    <row r="229" spans="3:11" ht="15.75" customHeight="1">
      <c r="D229" s="453" t="str">
        <f t="shared" si="5"/>
        <v>(für EPUs skaliert)</v>
      </c>
      <c r="E229" s="454" t="s">
        <v>1567</v>
      </c>
      <c r="F229" s="454" t="s">
        <v>1568</v>
      </c>
      <c r="G229" s="460" t="s">
        <v>1569</v>
      </c>
      <c r="H229" s="454" t="s">
        <v>1500</v>
      </c>
      <c r="I229" s="454" t="str">
        <f t="shared" si="12"/>
        <v>[fr](für EPUs skaliert)</v>
      </c>
      <c r="J229" s="454" t="str">
        <f t="shared" si="13"/>
        <v>[pt](für EPUs skaliert)</v>
      </c>
      <c r="K229" s="454" t="str">
        <f t="shared" si="14"/>
        <v>[gr](für EPUs skaliert)</v>
      </c>
    </row>
    <row r="230" spans="3:11" ht="15.75" customHeight="1">
      <c r="D230" s="453" t="str">
        <f t="shared" si="5"/>
        <v>Dokumentation der Bewertung</v>
      </c>
      <c r="E230" s="454" t="s">
        <v>1570</v>
      </c>
      <c r="F230" s="454" t="s">
        <v>1571</v>
      </c>
      <c r="G230" s="460" t="s">
        <v>1572</v>
      </c>
      <c r="H230" s="454" t="s">
        <v>1573</v>
      </c>
      <c r="I230" s="454" t="str">
        <f t="shared" si="12"/>
        <v>[fr]Dokumentation der Bewertung</v>
      </c>
      <c r="J230" s="454" t="str">
        <f t="shared" si="13"/>
        <v>[pt]Dokumentation der Bewertung</v>
      </c>
      <c r="K230" s="454" t="str">
        <f t="shared" si="14"/>
        <v>[gr]Dokumentation der Bewertung</v>
      </c>
    </row>
    <row r="231" spans="3:11" ht="15.75" customHeight="1">
      <c r="D231" s="453" t="str">
        <f t="shared" si="5"/>
        <v>Selbsteinschätzung</v>
      </c>
      <c r="E231" s="454" t="s">
        <v>1574</v>
      </c>
      <c r="F231" s="454" t="s">
        <v>1575</v>
      </c>
      <c r="G231" s="460" t="s">
        <v>1576</v>
      </c>
      <c r="H231" s="454" t="s">
        <v>1577</v>
      </c>
      <c r="I231" s="454" t="str">
        <f t="shared" si="12"/>
        <v>[fr]Selbsteinschätzung</v>
      </c>
      <c r="J231" s="454" t="str">
        <f t="shared" si="13"/>
        <v>[pt]Selbsteinschätzung</v>
      </c>
      <c r="K231" s="454" t="str">
        <f t="shared" si="14"/>
        <v>[gr]Selbsteinschätzung</v>
      </c>
    </row>
    <row r="232" spans="3:11" ht="15.75" customHeight="1">
      <c r="D232" s="453" t="str">
        <f t="shared" si="5"/>
        <v>Peer-Evaluation</v>
      </c>
      <c r="E232" s="503" t="s">
        <v>1578</v>
      </c>
      <c r="F232" s="503" t="s">
        <v>1579</v>
      </c>
      <c r="G232" s="504" t="s">
        <v>1580</v>
      </c>
      <c r="H232" s="454" t="s">
        <v>1581</v>
      </c>
      <c r="I232" s="454" t="str">
        <f t="shared" si="12"/>
        <v>[fr]Peer-Evaluation</v>
      </c>
      <c r="J232" s="454" t="str">
        <f t="shared" si="13"/>
        <v>[pt]Peer-Evaluation</v>
      </c>
      <c r="K232" s="454" t="str">
        <f t="shared" si="14"/>
        <v>[gr]Peer-Evaluation</v>
      </c>
    </row>
    <row r="233" spans="3:11" ht="15.75" customHeight="1">
      <c r="D233" s="453" t="str">
        <f t="shared" si="5"/>
        <v>Provisorische Bewertung des externen Audits</v>
      </c>
      <c r="E233" s="503" t="s">
        <v>1582</v>
      </c>
      <c r="F233" s="503" t="s">
        <v>1583</v>
      </c>
      <c r="G233" s="504" t="s">
        <v>1584</v>
      </c>
      <c r="H233" s="454" t="s">
        <v>1585</v>
      </c>
      <c r="I233" s="454" t="str">
        <f t="shared" si="12"/>
        <v>[fr]Provisorische Bewertung des externen Audits</v>
      </c>
      <c r="J233" s="454" t="str">
        <f t="shared" si="13"/>
        <v>[pt]Provisorische Bewertung des externen Audits</v>
      </c>
      <c r="K233" s="454" t="str">
        <f t="shared" si="14"/>
        <v>[gr]Provisorische Bewertung des externen Audits</v>
      </c>
    </row>
    <row r="234" spans="3:11" ht="15.75" customHeight="1">
      <c r="D234" s="453" t="str">
        <f t="shared" si="5"/>
        <v>Definitive Bewertung externen Audits /Peer</v>
      </c>
      <c r="E234" s="503" t="s">
        <v>1586</v>
      </c>
      <c r="F234" s="503" t="s">
        <v>1587</v>
      </c>
      <c r="G234" s="504" t="s">
        <v>1588</v>
      </c>
      <c r="H234" s="454" t="s">
        <v>1589</v>
      </c>
      <c r="I234" s="454" t="str">
        <f t="shared" si="12"/>
        <v>[fr]Definitive Bewertung externen Audits /Peer</v>
      </c>
      <c r="J234" s="454" t="str">
        <f t="shared" si="13"/>
        <v>[pt]Definitive Bewertung externen Audits /Peer</v>
      </c>
      <c r="K234" s="454" t="str">
        <f t="shared" si="14"/>
        <v>[gr]Definitive Bewertung externen Audits /Peer</v>
      </c>
    </row>
    <row r="235" spans="3:11" ht="15.75" customHeight="1">
      <c r="D235" s="453" t="str">
        <f t="shared" si="5"/>
        <v>Passwort für den Schutz der Tabellen: „ebc“</v>
      </c>
      <c r="E235" s="454" t="s">
        <v>1590</v>
      </c>
      <c r="F235" s="454" t="s">
        <v>1591</v>
      </c>
      <c r="G235" s="460" t="s">
        <v>1592</v>
      </c>
      <c r="H235" s="454" t="s">
        <v>1593</v>
      </c>
      <c r="I235" s="454" t="str">
        <f t="shared" si="12"/>
        <v>[fr]Passwort für den Schutz der Tabellen: „ebc“</v>
      </c>
      <c r="J235" s="454" t="str">
        <f t="shared" si="13"/>
        <v>[pt]Passwort für den Schutz der Tabellen: „ebc“</v>
      </c>
      <c r="K235" s="454" t="str">
        <f t="shared" si="14"/>
        <v>[gr]Passwort für den Schutz der Tabellen: „ebc“</v>
      </c>
    </row>
    <row r="236" spans="3:11" ht="15.75" customHeight="1">
      <c r="C236" s="474">
        <v>3</v>
      </c>
      <c r="D236" s="453" t="str">
        <f t="shared" si="5"/>
        <v>hoch</v>
      </c>
      <c r="E236" s="454" t="s">
        <v>151</v>
      </c>
      <c r="F236" s="454" t="s">
        <v>1000</v>
      </c>
      <c r="G236" s="460" t="s">
        <v>1001</v>
      </c>
      <c r="H236" s="454" t="s">
        <v>1594</v>
      </c>
      <c r="I236" s="454" t="str">
        <f t="shared" si="12"/>
        <v>[fr]hoch</v>
      </c>
      <c r="J236" s="454" t="str">
        <f t="shared" si="13"/>
        <v>[pt]hoch</v>
      </c>
      <c r="K236" s="454" t="str">
        <f t="shared" si="14"/>
        <v>[gr]hoch</v>
      </c>
    </row>
    <row r="237" spans="3:11" ht="15.75" customHeight="1">
      <c r="C237" s="474">
        <v>2</v>
      </c>
      <c r="D237" s="453" t="str">
        <f t="shared" si="5"/>
        <v>mittel</v>
      </c>
      <c r="E237" s="454" t="s">
        <v>150</v>
      </c>
      <c r="F237" s="454" t="s">
        <v>1003</v>
      </c>
      <c r="G237" s="460" t="s">
        <v>1004</v>
      </c>
      <c r="H237" s="454" t="s">
        <v>1595</v>
      </c>
      <c r="I237" s="454" t="str">
        <f t="shared" si="12"/>
        <v>[fr]mittel</v>
      </c>
      <c r="J237" s="454" t="str">
        <f t="shared" si="13"/>
        <v>[pt]mittel</v>
      </c>
      <c r="K237" s="454" t="str">
        <f t="shared" si="14"/>
        <v>[gr]mittel</v>
      </c>
    </row>
    <row r="238" spans="3:11" ht="15.75" customHeight="1">
      <c r="C238" s="474">
        <v>1</v>
      </c>
      <c r="D238" s="453" t="str">
        <f t="shared" si="5"/>
        <v>niedrig</v>
      </c>
      <c r="E238" s="454" t="s">
        <v>149</v>
      </c>
      <c r="F238" s="454" t="s">
        <v>1006</v>
      </c>
      <c r="G238" s="460" t="s">
        <v>1007</v>
      </c>
      <c r="H238" s="454" t="s">
        <v>1596</v>
      </c>
      <c r="I238" s="454" t="str">
        <f t="shared" si="12"/>
        <v>[fr]niedrig</v>
      </c>
      <c r="J238" s="454" t="str">
        <f t="shared" si="13"/>
        <v>[pt]niedrig</v>
      </c>
      <c r="K238" s="454" t="str">
        <f t="shared" si="14"/>
        <v>[gr]niedrig</v>
      </c>
    </row>
    <row r="239" spans="3:11" ht="15.75" customHeight="1">
      <c r="C239" s="474">
        <v>0</v>
      </c>
      <c r="D239" s="453" t="str">
        <f t="shared" si="5"/>
        <v>trifft nicht zu</v>
      </c>
      <c r="E239" s="454" t="s">
        <v>148</v>
      </c>
      <c r="F239" s="454" t="s">
        <v>1597</v>
      </c>
      <c r="G239" s="460" t="s">
        <v>1598</v>
      </c>
      <c r="H239" s="454" t="s">
        <v>1599</v>
      </c>
      <c r="I239" s="454" t="str">
        <f t="shared" si="12"/>
        <v>[fr]trifft nicht zu</v>
      </c>
      <c r="J239" s="454" t="str">
        <f t="shared" si="13"/>
        <v>[pt]trifft nicht zu</v>
      </c>
      <c r="K239" s="454" t="str">
        <f t="shared" si="14"/>
        <v>[gr]trifft nicht zu</v>
      </c>
    </row>
    <row r="240" spans="3:11" ht="15.75" customHeight="1">
      <c r="D240" s="453" t="str">
        <f t="shared" si="5"/>
        <v xml:space="preserve">Gewichtung geändert. Ursprünglich </v>
      </c>
      <c r="E240" s="469" t="s">
        <v>3189</v>
      </c>
      <c r="F240" s="469" t="s">
        <v>3190</v>
      </c>
      <c r="G240" s="470" t="s">
        <v>3191</v>
      </c>
      <c r="H240" s="469" t="s">
        <v>3192</v>
      </c>
      <c r="I240" s="454" t="str">
        <f t="shared" si="12"/>
        <v xml:space="preserve">[fr]Gewichtung geändert. Ursprünglich </v>
      </c>
      <c r="J240" s="454" t="str">
        <f t="shared" si="13"/>
        <v xml:space="preserve">[pt]Gewichtung geändert. Ursprünglich </v>
      </c>
      <c r="K240" s="454" t="str">
        <f t="shared" si="14"/>
        <v xml:space="preserve">[gr]Gewichtung geändert. Ursprünglich </v>
      </c>
    </row>
    <row r="241" spans="2:11" ht="15.75" customHeight="1">
      <c r="D241" s="453" t="str">
        <f t="shared" si="5"/>
        <v xml:space="preserve">Werte-Stern für </v>
      </c>
      <c r="E241" s="454" t="s">
        <v>1600</v>
      </c>
      <c r="F241" s="454" t="s">
        <v>1601</v>
      </c>
      <c r="G241" s="454" t="s">
        <v>1602</v>
      </c>
      <c r="H241" s="469" t="s">
        <v>1603</v>
      </c>
      <c r="I241" s="454" t="str">
        <f t="shared" si="12"/>
        <v xml:space="preserve">[fr]Werte-Stern für </v>
      </c>
      <c r="J241" s="454" t="str">
        <f t="shared" si="13"/>
        <v xml:space="preserve">[pt]Werte-Stern für </v>
      </c>
      <c r="K241" s="454" t="str">
        <f t="shared" si="14"/>
        <v xml:space="preserve">[gr]Werte-Stern für </v>
      </c>
    </row>
    <row r="242" spans="2:11" ht="15.75" customHeight="1">
      <c r="D242" s="453" t="str">
        <f t="shared" si="5"/>
        <v xml:space="preserve">Gruppen-Stern für </v>
      </c>
      <c r="E242" s="454" t="s">
        <v>1604</v>
      </c>
      <c r="F242" s="454" t="s">
        <v>1605</v>
      </c>
      <c r="G242" s="454" t="s">
        <v>1606</v>
      </c>
      <c r="H242" s="454" t="s">
        <v>1607</v>
      </c>
      <c r="I242" s="454" t="str">
        <f t="shared" si="12"/>
        <v xml:space="preserve">[fr]Gruppen-Stern für </v>
      </c>
      <c r="J242" s="454" t="str">
        <f t="shared" si="13"/>
        <v xml:space="preserve">[pt]Gruppen-Stern für </v>
      </c>
      <c r="K242" s="454" t="str">
        <f t="shared" si="14"/>
        <v xml:space="preserve">[gr]Gruppen-Stern für </v>
      </c>
    </row>
    <row r="243" spans="2:11" ht="15.75" customHeight="1">
      <c r="D243" s="453" t="str">
        <f t="shared" si="5"/>
        <v xml:space="preserve">Themen-Stern für </v>
      </c>
      <c r="E243" s="454" t="s">
        <v>1608</v>
      </c>
      <c r="F243" s="454" t="s">
        <v>1609</v>
      </c>
      <c r="G243" s="454" t="s">
        <v>1610</v>
      </c>
      <c r="H243" s="454" t="s">
        <v>1611</v>
      </c>
      <c r="I243" s="454" t="str">
        <f t="shared" si="12"/>
        <v xml:space="preserve">[fr]Themen-Stern für </v>
      </c>
      <c r="J243" s="454" t="str">
        <f t="shared" si="13"/>
        <v xml:space="preserve">[pt]Themen-Stern für </v>
      </c>
      <c r="K243" s="454" t="str">
        <f t="shared" si="14"/>
        <v xml:space="preserve">[gr]Themen-Stern für </v>
      </c>
    </row>
    <row r="244" spans="2:11" ht="357.6" customHeight="1">
      <c r="B244" s="505" t="str">
        <f>D208</f>
        <v>Allgemein</v>
      </c>
      <c r="D244" s="453" t="str">
        <f t="shared" si="5"/>
        <v>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c r="E244" s="506" t="s">
        <v>1612</v>
      </c>
      <c r="F244" s="454" t="s">
        <v>1613</v>
      </c>
      <c r="G244" s="460" t="s">
        <v>1614</v>
      </c>
      <c r="H244" s="454" t="s">
        <v>1615</v>
      </c>
      <c r="I244" s="454" t="str">
        <f t="shared" si="12"/>
        <v>[fr]Die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c r="J244" s="454" t="str">
        <f t="shared" si="13"/>
        <v>[pt]Die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c r="K244" s="454" t="str">
        <f t="shared" si="14"/>
        <v>[gr]Die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row>
    <row r="245" spans="2:11" ht="227.85" customHeight="1">
      <c r="B245" s="505" t="s">
        <v>1486</v>
      </c>
      <c r="D245" s="453" t="str">
        <f t="shared" si="5"/>
        <v xml:space="preserve">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c r="E245" s="506" t="s">
        <v>1616</v>
      </c>
      <c r="F245" s="454" t="s">
        <v>1617</v>
      </c>
      <c r="G245" s="460" t="s">
        <v>1618</v>
      </c>
      <c r="H245" s="454" t="s">
        <v>1619</v>
      </c>
      <c r="I245" s="454" t="str">
        <f t="shared" si="12"/>
        <v xml:space="preserve">[fr]Bei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c r="J245" s="454" t="str">
        <f t="shared" si="13"/>
        <v xml:space="preserve">[pt]Bei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c r="K245" s="454" t="str">
        <f t="shared" si="14"/>
        <v xml:space="preserve">[gr]Bei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row>
    <row r="246" spans="2:11" ht="161.25" customHeight="1">
      <c r="B246" s="507" t="s">
        <v>1478</v>
      </c>
      <c r="D246" s="453" t="str">
        <f t="shared" si="5"/>
        <v>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c r="E246" s="508" t="s">
        <v>1620</v>
      </c>
      <c r="F246" s="454" t="s">
        <v>1621</v>
      </c>
      <c r="G246" s="460" t="s">
        <v>1622</v>
      </c>
      <c r="H246" s="454" t="s">
        <v>1623</v>
      </c>
      <c r="I246" s="454" t="str">
        <f t="shared" si="12"/>
        <v>[fr]Auf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c r="J246" s="454" t="str">
        <f t="shared" si="13"/>
        <v>[pt]Auf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c r="K246" s="454" t="str">
        <f t="shared" si="14"/>
        <v>[gr]Auf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row>
    <row r="247" spans="2:11" ht="28.5" customHeight="1">
      <c r="B247" s="509" t="s">
        <v>14</v>
      </c>
      <c r="D247" s="453" t="str">
        <f t="shared" si="5"/>
        <v>Die Gewichtung dieses Thema’s ist abhängig von den sozialen Risiken der Zulieferbranchen</v>
      </c>
      <c r="E247" s="510" t="s">
        <v>1624</v>
      </c>
      <c r="F247" s="454" t="s">
        <v>1625</v>
      </c>
      <c r="G247" s="460" t="s">
        <v>1626</v>
      </c>
      <c r="H247" s="454" t="s">
        <v>1627</v>
      </c>
      <c r="I247" s="454" t="str">
        <f t="shared" si="12"/>
        <v>[fr]Die Gewichtung dieses Thema’s ist abhängig von den sozialen Risiken der Zulieferbranchen</v>
      </c>
      <c r="J247" s="454" t="str">
        <f t="shared" si="13"/>
        <v>[pt]Die Gewichtung dieses Thema’s ist abhängig von den sozialen Risiken der Zulieferbranchen</v>
      </c>
      <c r="K247" s="454" t="str">
        <f t="shared" si="14"/>
        <v>[gr]Die Gewichtung dieses Thema’s ist abhängig von den sozialen Risiken der Zulieferbranchen</v>
      </c>
    </row>
    <row r="248" spans="2:11" ht="15.75" customHeight="1">
      <c r="B248" s="511" t="s">
        <v>17</v>
      </c>
      <c r="D248" s="453" t="str">
        <f t="shared" si="5"/>
        <v>-</v>
      </c>
      <c r="E248" s="512" t="s">
        <v>154</v>
      </c>
      <c r="F248" s="513" t="s">
        <v>154</v>
      </c>
      <c r="G248" s="513" t="s">
        <v>154</v>
      </c>
      <c r="H248" s="454" t="s">
        <v>154</v>
      </c>
      <c r="I248" s="454" t="str">
        <f t="shared" si="12"/>
        <v>[fr]-</v>
      </c>
      <c r="J248" s="454" t="str">
        <f t="shared" si="13"/>
        <v>[pt]-</v>
      </c>
      <c r="K248" s="454" t="str">
        <f t="shared" si="14"/>
        <v>[gr]-</v>
      </c>
    </row>
    <row r="249" spans="2:11" ht="54.75" customHeight="1">
      <c r="B249" s="514" t="s">
        <v>21</v>
      </c>
      <c r="D249" s="453" t="str">
        <f t="shared" si="5"/>
        <v>Die Gewichtung dieses Thema’s ist abhängig vom ökologischen Effekt der Branche des Lieferanten (siehe Tabellenblatt “Industry”)</v>
      </c>
      <c r="E249" s="512" t="s">
        <v>1628</v>
      </c>
      <c r="F249" s="454" t="s">
        <v>1629</v>
      </c>
      <c r="G249" s="460" t="s">
        <v>1630</v>
      </c>
      <c r="H249" s="454" t="s">
        <v>1631</v>
      </c>
      <c r="I249" s="454" t="str">
        <f t="shared" si="12"/>
        <v>[fr]Die Gewichtung dieses Thema’s ist abhängig vom ökologischen Effekt der Branche des Lieferanten (siehe Tabellenblatt “Industry”)</v>
      </c>
      <c r="J249" s="454" t="str">
        <f t="shared" si="13"/>
        <v>[pt]Die Gewichtung dieses Thema’s ist abhängig vom ökologischen Effekt der Branche des Lieferanten (siehe Tabellenblatt “Industry”)</v>
      </c>
      <c r="K249" s="454" t="str">
        <f t="shared" si="14"/>
        <v>[gr]Die Gewichtung dieses Thema’s ist abhängig vom ökologischen Effekt der Branche des Lieferanten (siehe Tabellenblatt “Industry”)</v>
      </c>
    </row>
    <row r="250" spans="2:11" ht="68.25" customHeight="1">
      <c r="B250" s="514" t="s">
        <v>24</v>
      </c>
      <c r="D250" s="453" t="str">
        <f t="shared" si="5"/>
        <v>Die Gewichtung dieses Thema’s ist abhängig von den Mitbestimmungsrechte in den Ländern der wichtigsten Zulieferbranchen (basierend auf dem ITUC-Index der International Trade Union Confederation)</v>
      </c>
      <c r="E250" s="515" t="s">
        <v>1632</v>
      </c>
      <c r="F250" s="454" t="s">
        <v>1633</v>
      </c>
      <c r="G250" s="460" t="s">
        <v>1634</v>
      </c>
      <c r="H250" s="454" t="s">
        <v>1635</v>
      </c>
      <c r="I250" s="454" t="str">
        <f t="shared" si="12"/>
        <v>[fr]Die Gewichtung dieses Thema’s ist abhängig von den Mitbestimmungsrechte in den Ländern der wichtigsten Zulieferbranchen (basierend auf dem ITUC-Index der International Trade Union Confederation)</v>
      </c>
      <c r="J250" s="454" t="str">
        <f t="shared" si="13"/>
        <v>[pt]Die Gewichtung dieses Thema’s ist abhängig von den Mitbestimmungsrechte in den Ländern der wichtigsten Zulieferbranchen (basierend auf dem ITUC-Index der International Trade Union Confederation)</v>
      </c>
      <c r="K250" s="454" t="str">
        <f t="shared" si="14"/>
        <v>[gr]Die Gewichtung dieses Thema’s ist abhängig von den Mitbestimmungsrechte in den Ländern der wichtigsten Zulieferbranchen (basierend auf dem ITUC-Index der International Trade Union Confederation)</v>
      </c>
    </row>
    <row r="251" spans="2:11" ht="28.5" customHeight="1">
      <c r="B251" s="514" t="s">
        <v>28</v>
      </c>
      <c r="D251" s="453" t="str">
        <f t="shared" si="5"/>
        <v>Die Gewichtung dieses Thema’s ist abhängig von der Relation Umsatz zu Bilanzsumme</v>
      </c>
      <c r="E251" s="512" t="s">
        <v>1636</v>
      </c>
      <c r="F251" s="454" t="s">
        <v>1637</v>
      </c>
      <c r="G251" s="460" t="s">
        <v>1638</v>
      </c>
      <c r="H251" s="454" t="s">
        <v>1639</v>
      </c>
      <c r="I251" s="454" t="str">
        <f t="shared" si="12"/>
        <v>[fr]Die Gewichtung dieses Thema’s ist abhängig von der Relation Umsatz zu Bilanzsumme</v>
      </c>
      <c r="J251" s="454" t="str">
        <f t="shared" si="13"/>
        <v>[pt]Die Gewichtung dieses Thema’s ist abhängig von der Relation Umsatz zu Bilanzsumme</v>
      </c>
      <c r="K251" s="454" t="str">
        <f t="shared" si="14"/>
        <v>[gr]Die Gewichtung dieses Thema’s ist abhängig von der Relation Umsatz zu Bilanzsumme</v>
      </c>
    </row>
    <row r="252" spans="2:11" ht="42.75" customHeight="1">
      <c r="B252" s="514" t="s">
        <v>32</v>
      </c>
      <c r="D252" s="453" t="str">
        <f t="shared" si="5"/>
        <v xml:space="preserve">Die Gewichtung dieses Thema’s ist abhängig von der Relation Gewinn zu Umsatz </v>
      </c>
      <c r="E252" s="512" t="s">
        <v>1640</v>
      </c>
      <c r="F252" s="454" t="s">
        <v>1641</v>
      </c>
      <c r="G252" s="460" t="s">
        <v>1642</v>
      </c>
      <c r="H252" s="454" t="s">
        <v>1643</v>
      </c>
      <c r="I252" s="454" t="str">
        <f t="shared" si="12"/>
        <v xml:space="preserve">[fr]Die Gewichtung dieses Thema’s ist abhängig von der Relation Gewinn zu Umsatz </v>
      </c>
      <c r="J252" s="454" t="str">
        <f t="shared" si="13"/>
        <v xml:space="preserve">[pt]Die Gewichtung dieses Thema’s ist abhängig von der Relation Gewinn zu Umsatz </v>
      </c>
      <c r="K252" s="454" t="str">
        <f t="shared" si="14"/>
        <v xml:space="preserve">[gr]Die Gewichtung dieses Thema’s ist abhängig von der Relation Gewinn zu Umsatz </v>
      </c>
    </row>
    <row r="253" spans="2:11" ht="51" customHeight="1">
      <c r="B253" s="514" t="s">
        <v>35</v>
      </c>
      <c r="D253" s="453" t="str">
        <f t="shared" si="5"/>
        <v>Die Gewichtung dieses Thema’s ist abhängig  Zugängen zum Anlagevermögen und Finanzvermögen in Relation zu der Bilanzsumme</v>
      </c>
      <c r="E253" s="512" t="s">
        <v>1644</v>
      </c>
      <c r="F253" s="454" t="s">
        <v>1645</v>
      </c>
      <c r="G253" s="460" t="s">
        <v>1646</v>
      </c>
      <c r="H253" s="454" t="s">
        <v>1647</v>
      </c>
      <c r="I253" s="454" t="str">
        <f t="shared" si="12"/>
        <v>[fr]Die Gewichtung dieses Thema’s ist abhängig  Zugängen zum Anlagevermögen und Finanzvermögen in Relation zu der Bilanzsumme</v>
      </c>
      <c r="J253" s="454" t="str">
        <f t="shared" si="13"/>
        <v>[pt]Die Gewichtung dieses Thema’s ist abhängig  Zugängen zum Anlagevermögen und Finanzvermögen in Relation zu der Bilanzsumme</v>
      </c>
      <c r="K253" s="454" t="str">
        <f t="shared" si="14"/>
        <v>[gr]Die Gewichtung dieses Thema’s ist abhängig  Zugängen zum Anlagevermögen und Finanzvermögen in Relation zu der Bilanzsumme</v>
      </c>
    </row>
    <row r="254" spans="2:11" ht="28.5" customHeight="1">
      <c r="B254" s="514" t="s">
        <v>39</v>
      </c>
      <c r="D254" s="453" t="str">
        <f t="shared" si="5"/>
        <v>Die Gewichtung dieses Thema’s ist abhängig von der Größe des Unternehmens</v>
      </c>
      <c r="E254" s="512" t="s">
        <v>1648</v>
      </c>
      <c r="F254" s="454" t="s">
        <v>1649</v>
      </c>
      <c r="G254" s="460" t="s">
        <v>1650</v>
      </c>
      <c r="H254" s="454" t="s">
        <v>1651</v>
      </c>
      <c r="I254" s="454" t="str">
        <f t="shared" si="12"/>
        <v>[fr]Die Gewichtung dieses Thema’s ist abhängig von der Größe des Unternehmens</v>
      </c>
      <c r="J254" s="454" t="str">
        <f t="shared" si="13"/>
        <v>[pt]Die Gewichtung dieses Thema’s ist abhängig von der Größe des Unternehmens</v>
      </c>
      <c r="K254" s="454" t="str">
        <f t="shared" si="14"/>
        <v>[gr]Die Gewichtung dieses Thema’s ist abhängig von der Größe des Unternehmens</v>
      </c>
    </row>
    <row r="255" spans="2:11" ht="15.75" customHeight="1">
      <c r="B255" s="514" t="s">
        <v>43</v>
      </c>
      <c r="D255" s="453" t="str">
        <f t="shared" si="5"/>
        <v>-</v>
      </c>
      <c r="E255" s="516" t="s">
        <v>154</v>
      </c>
      <c r="F255" s="517" t="s">
        <v>154</v>
      </c>
      <c r="G255" s="517" t="s">
        <v>154</v>
      </c>
      <c r="H255" s="454" t="s">
        <v>154</v>
      </c>
      <c r="I255" s="454" t="str">
        <f t="shared" si="12"/>
        <v>[fr]-</v>
      </c>
      <c r="J255" s="454" t="str">
        <f t="shared" si="13"/>
        <v>[pt]-</v>
      </c>
      <c r="K255" s="454" t="str">
        <f t="shared" si="14"/>
        <v>[gr]-</v>
      </c>
    </row>
    <row r="256" spans="2:11" ht="15.75" customHeight="1">
      <c r="B256" s="514" t="s">
        <v>48</v>
      </c>
      <c r="D256" s="453" t="str">
        <f t="shared" si="5"/>
        <v>-</v>
      </c>
      <c r="E256" s="512" t="s">
        <v>154</v>
      </c>
      <c r="F256" s="513" t="s">
        <v>154</v>
      </c>
      <c r="G256" s="513" t="s">
        <v>154</v>
      </c>
      <c r="H256" s="454" t="s">
        <v>154</v>
      </c>
      <c r="I256" s="454" t="str">
        <f t="shared" si="12"/>
        <v>[fr]-</v>
      </c>
      <c r="J256" s="454" t="str">
        <f t="shared" si="13"/>
        <v>[pt]-</v>
      </c>
      <c r="K256" s="454" t="str">
        <f t="shared" si="14"/>
        <v>[gr]-</v>
      </c>
    </row>
    <row r="257" spans="2:11" ht="54.75" customHeight="1">
      <c r="B257" s="514" t="s">
        <v>53</v>
      </c>
      <c r="D257" s="453" t="str">
        <f t="shared" si="5"/>
        <v>Die Gewichtung dieses Thema’s ist abhängig von der Existenz einer Kantine für die Mehrheit der Mitarbeiter*innen sowie dem (geschätzten) durchschnittlichen Anfahrtsweg zur Arbeit.</v>
      </c>
      <c r="E257" s="512" t="s">
        <v>1652</v>
      </c>
      <c r="F257" s="454" t="s">
        <v>1653</v>
      </c>
      <c r="G257" s="460" t="s">
        <v>1654</v>
      </c>
      <c r="H257" s="454" t="s">
        <v>1655</v>
      </c>
      <c r="I257" s="454" t="str">
        <f t="shared" si="12"/>
        <v>[fr]Die Gewichtung dieses Thema’s ist abhängig von der Existenz einer Kantine für die Mehrheit der Mitarbeiter*innen sowie dem (geschätzten) durchschnittlichen Anfahrtsweg zur Arbeit.</v>
      </c>
      <c r="J257" s="454" t="str">
        <f t="shared" si="13"/>
        <v>[pt]Die Gewichtung dieses Thema’s ist abhängig von der Existenz einer Kantine für die Mehrheit der Mitarbeiter*innen sowie dem (geschätzten) durchschnittlichen Anfahrtsweg zur Arbeit.</v>
      </c>
      <c r="K257" s="454" t="str">
        <f t="shared" si="14"/>
        <v>[gr]Die Gewichtung dieses Thema’s ist abhängig von der Existenz einer Kantine für die Mehrheit der Mitarbeiter*innen sowie dem (geschätzten) durchschnittlichen Anfahrtsweg zur Arbeit.</v>
      </c>
    </row>
    <row r="258" spans="2:11" ht="81.599999999999994" customHeight="1">
      <c r="B258" s="514" t="s">
        <v>58</v>
      </c>
      <c r="D258" s="453" t="str">
        <f t="shared" si="5"/>
        <v>Die Gewichtung dieses Thema’s ist abhängig von der Größe des Unternehmens sowie von den Mitbestimmungsrechte in den Ländern der wichtigsten Standorte (basierend auf dem ITUC-Index der International Labour Union)</v>
      </c>
      <c r="E258" s="515" t="s">
        <v>1656</v>
      </c>
      <c r="F258" s="454" t="s">
        <v>1657</v>
      </c>
      <c r="G258" s="460" t="s">
        <v>1658</v>
      </c>
      <c r="H258" s="454" t="s">
        <v>1659</v>
      </c>
      <c r="I258" s="454" t="str">
        <f t="shared" si="12"/>
        <v>[fr]Die Gewichtung dieses Thema’s ist abhängig von der Größe des Unternehmens sowie von den Mitbestimmungsrechte in den Ländern der wichtigsten Standorte (basierend auf dem ITUC-Index der International Labour Union)</v>
      </c>
      <c r="J258" s="454" t="str">
        <f t="shared" si="13"/>
        <v>[pt]Die Gewichtung dieses Thema’s ist abhängig von der Größe des Unternehmens sowie von den Mitbestimmungsrechte in den Ländern der wichtigsten Standorte (basierend auf dem ITUC-Index der International Labour Union)</v>
      </c>
      <c r="K258" s="454" t="str">
        <f t="shared" si="14"/>
        <v>[gr]Die Gewichtung dieses Thema’s ist abhängig von der Größe des Unternehmens sowie von den Mitbestimmungsrechte in den Ländern der wichtigsten Standorte (basierend auf dem ITUC-Index der International Labour Union)</v>
      </c>
    </row>
    <row r="259" spans="2:11" ht="15.75" customHeight="1">
      <c r="B259" s="514" t="s">
        <v>64</v>
      </c>
      <c r="D259" s="453" t="str">
        <f t="shared" si="5"/>
        <v>-</v>
      </c>
      <c r="E259" s="512" t="s">
        <v>154</v>
      </c>
      <c r="F259" s="512" t="s">
        <v>154</v>
      </c>
      <c r="G259" s="512" t="s">
        <v>154</v>
      </c>
      <c r="H259" s="454" t="s">
        <v>154</v>
      </c>
      <c r="I259" s="454" t="str">
        <f t="shared" si="12"/>
        <v>[fr]-</v>
      </c>
      <c r="J259" s="454" t="str">
        <f t="shared" si="13"/>
        <v>[pt]-</v>
      </c>
      <c r="K259" s="454" t="str">
        <f t="shared" si="14"/>
        <v>[gr]-</v>
      </c>
    </row>
    <row r="260" spans="2:11" ht="15.75" customHeight="1">
      <c r="B260" s="514" t="s">
        <v>68</v>
      </c>
      <c r="D260" s="453" t="str">
        <f t="shared" si="5"/>
        <v>-</v>
      </c>
      <c r="E260" s="512" t="s">
        <v>154</v>
      </c>
      <c r="F260" s="513" t="s">
        <v>154</v>
      </c>
      <c r="G260" s="513" t="s">
        <v>154</v>
      </c>
      <c r="H260" s="454" t="s">
        <v>154</v>
      </c>
      <c r="I260" s="454" t="str">
        <f t="shared" si="12"/>
        <v>[fr]-</v>
      </c>
      <c r="J260" s="454" t="str">
        <f t="shared" si="13"/>
        <v>[pt]-</v>
      </c>
      <c r="K260" s="454" t="str">
        <f t="shared" si="14"/>
        <v>[gr]-</v>
      </c>
    </row>
    <row r="261" spans="2:11" ht="28.5" customHeight="1">
      <c r="B261" s="514" t="s">
        <v>72</v>
      </c>
      <c r="D261" s="453" t="str">
        <f t="shared" si="5"/>
        <v xml:space="preserve">Die Gewichtung dieses Thema’s ist abhängig von der Branche </v>
      </c>
      <c r="E261" s="512" t="s">
        <v>1660</v>
      </c>
      <c r="F261" s="454" t="s">
        <v>1661</v>
      </c>
      <c r="G261" s="460" t="s">
        <v>1662</v>
      </c>
      <c r="H261" s="454" t="s">
        <v>1663</v>
      </c>
      <c r="I261" s="454" t="str">
        <f t="shared" si="12"/>
        <v xml:space="preserve">[fr]Die Gewichtung dieses Thema’s ist abhängig von der Branche </v>
      </c>
      <c r="J261" s="454" t="str">
        <f t="shared" si="13"/>
        <v xml:space="preserve">[pt]Die Gewichtung dieses Thema’s ist abhängig von der Branche </v>
      </c>
      <c r="K261" s="454" t="str">
        <f t="shared" si="14"/>
        <v xml:space="preserve">[gr]Die Gewichtung dieses Thema’s ist abhängig von der Branche </v>
      </c>
    </row>
    <row r="262" spans="2:11" ht="41.85" customHeight="1">
      <c r="B262" s="514" t="s">
        <v>76</v>
      </c>
      <c r="D262" s="453" t="str">
        <f t="shared" si="5"/>
        <v>Die Gewichtung dieses Thema’s ist abhängig davon, ob Kund*innen in erster Linie Private oder Unternehmen sind</v>
      </c>
      <c r="E262" s="512" t="s">
        <v>1664</v>
      </c>
      <c r="F262" s="454" t="s">
        <v>1665</v>
      </c>
      <c r="G262" s="460" t="s">
        <v>1666</v>
      </c>
      <c r="H262" s="454" t="s">
        <v>1667</v>
      </c>
      <c r="I262" s="454" t="str">
        <f t="shared" si="12"/>
        <v>[fr]Die Gewichtung dieses Thema’s ist abhängig davon, ob Kund*innen in erster Linie Private oder Unternehmen sind</v>
      </c>
      <c r="J262" s="454" t="str">
        <f t="shared" si="13"/>
        <v>[pt]Die Gewichtung dieses Thema’s ist abhängig davon, ob Kund*innen in erster Linie Private oder Unternehmen sind</v>
      </c>
      <c r="K262" s="454" t="str">
        <f t="shared" si="14"/>
        <v>[gr]Die Gewichtung dieses Thema’s ist abhängig davon, ob Kund*innen in erster Linie Private oder Unternehmen sind</v>
      </c>
    </row>
    <row r="263" spans="2:11" ht="15.75" customHeight="1">
      <c r="B263" s="514" t="s">
        <v>80</v>
      </c>
      <c r="D263" s="453" t="str">
        <f t="shared" si="5"/>
        <v>-</v>
      </c>
      <c r="E263" s="512" t="s">
        <v>154</v>
      </c>
      <c r="F263" s="513" t="s">
        <v>154</v>
      </c>
      <c r="G263" s="513" t="s">
        <v>154</v>
      </c>
      <c r="H263" s="454" t="s">
        <v>154</v>
      </c>
      <c r="I263" s="454" t="str">
        <f t="shared" si="12"/>
        <v>[fr]-</v>
      </c>
      <c r="J263" s="454" t="str">
        <f t="shared" si="13"/>
        <v>[pt]-</v>
      </c>
      <c r="K263" s="454" t="str">
        <f t="shared" si="14"/>
        <v>[gr]-</v>
      </c>
    </row>
    <row r="264" spans="2:11" ht="41.85" customHeight="1">
      <c r="B264" s="514" t="s">
        <v>84</v>
      </c>
      <c r="D264" s="453" t="str">
        <f t="shared" si="5"/>
        <v>Die Gewichtung dieses Thema’s ist abhängig von der Umsatzrentabilität (Gewinn/Umsatz)</v>
      </c>
      <c r="E264" s="512" t="s">
        <v>1668</v>
      </c>
      <c r="F264" s="454" t="s">
        <v>1669</v>
      </c>
      <c r="G264" s="460" t="s">
        <v>1670</v>
      </c>
      <c r="H264" s="454" t="s">
        <v>1671</v>
      </c>
      <c r="I264" s="454" t="str">
        <f t="shared" si="12"/>
        <v>[fr]Die Gewichtung dieses Thema’s ist abhängig von der Umsatzrentabilität (Gewinn/Umsatz)</v>
      </c>
      <c r="J264" s="454" t="str">
        <f t="shared" si="13"/>
        <v>[pt]Die Gewichtung dieses Thema’s ist abhängig von der Umsatzrentabilität (Gewinn/Umsatz)</v>
      </c>
      <c r="K264" s="454" t="str">
        <f t="shared" si="14"/>
        <v>[gr]Die Gewichtung dieses Thema’s ist abhängig von der Umsatzrentabilität (Gewinn/Umsatz)</v>
      </c>
    </row>
    <row r="265" spans="2:11" ht="28.5" customHeight="1">
      <c r="B265" s="514" t="s">
        <v>89</v>
      </c>
      <c r="D265" s="453" t="str">
        <f t="shared" si="5"/>
        <v>Die Gewichtung dieses Thenma’s ist abhängig von der Branche</v>
      </c>
      <c r="E265" s="512" t="s">
        <v>1672</v>
      </c>
      <c r="F265" s="454" t="s">
        <v>1661</v>
      </c>
      <c r="G265" s="460" t="s">
        <v>1662</v>
      </c>
      <c r="H265" s="454" t="s">
        <v>1663</v>
      </c>
      <c r="I265" s="454" t="str">
        <f t="shared" si="12"/>
        <v>[fr]Die Gewichtung dieses Thenma’s ist abhängig von der Branche</v>
      </c>
      <c r="J265" s="454" t="str">
        <f t="shared" si="13"/>
        <v>[pt]Die Gewichtung dieses Thenma’s ist abhängig von der Branche</v>
      </c>
      <c r="K265" s="454" t="str">
        <f t="shared" si="14"/>
        <v>[gr]Die Gewichtung dieses Thenma’s ist abhängig von der Branche</v>
      </c>
    </row>
    <row r="266" spans="2:11" ht="41.85" customHeight="1">
      <c r="B266" s="518" t="s">
        <v>93</v>
      </c>
      <c r="D266" s="453" t="str">
        <f t="shared" si="5"/>
        <v>Die Gewichtung dieses Thema’s ist abhängig von der Größe sowie der Branche des Unternehmens.</v>
      </c>
      <c r="E266" s="519" t="s">
        <v>1673</v>
      </c>
      <c r="F266" s="454" t="s">
        <v>1674</v>
      </c>
      <c r="G266" s="460" t="s">
        <v>1675</v>
      </c>
      <c r="H266" s="454" t="s">
        <v>1676</v>
      </c>
      <c r="I266" s="454" t="str">
        <f t="shared" si="12"/>
        <v>[fr]Die Gewichtung dieses Thema’s ist abhängig von der Größe sowie der Branche des Unternehmens.</v>
      </c>
      <c r="J266" s="454" t="str">
        <f t="shared" si="13"/>
        <v>[pt]Die Gewichtung dieses Thema’s ist abhängig von der Größe sowie der Branche des Unternehmens.</v>
      </c>
      <c r="K266" s="454" t="str">
        <f t="shared" si="14"/>
        <v>[gr]Die Gewichtung dieses Thema’s ist abhängig von der Größe sowie der Branche des Unternehmens.</v>
      </c>
    </row>
    <row r="267" spans="2:11" ht="15.75" customHeight="1">
      <c r="D267" s="453">
        <f t="shared" si="5"/>
        <v>0</v>
      </c>
      <c r="E267" s="454"/>
      <c r="G267" s="454"/>
      <c r="H267" s="454"/>
      <c r="I267" s="454" t="str">
        <f t="shared" si="12"/>
        <v>[fr]</v>
      </c>
      <c r="J267" s="454" t="str">
        <f t="shared" si="13"/>
        <v>[pt]</v>
      </c>
      <c r="K267" s="454" t="str">
        <f t="shared" si="14"/>
        <v>[gr]</v>
      </c>
    </row>
    <row r="268" spans="2:11" ht="28.5" customHeight="1">
      <c r="D268" s="453" t="str">
        <f t="shared" si="5"/>
        <v>A - Landwirtschaft, Forstwirtschaft und Fischerei</v>
      </c>
      <c r="E268" s="454" t="s">
        <v>1677</v>
      </c>
      <c r="F268" s="454" t="s">
        <v>1678</v>
      </c>
      <c r="G268" s="460" t="s">
        <v>1679</v>
      </c>
      <c r="H268" s="454" t="s">
        <v>1680</v>
      </c>
      <c r="I268" s="454" t="str">
        <f t="shared" si="12"/>
        <v>[fr]A - Landwirtschaft, Forstwirtschaft und Fischerei</v>
      </c>
      <c r="J268" s="454" t="str">
        <f t="shared" si="13"/>
        <v>[pt]A - Landwirtschaft, Forstwirtschaft und Fischerei</v>
      </c>
      <c r="K268" s="454" t="str">
        <f t="shared" si="14"/>
        <v>[gr]A - Landwirtschaft, Forstwirtschaft und Fischerei</v>
      </c>
    </row>
    <row r="269" spans="2:11" ht="28.5" customHeight="1">
      <c r="D269" s="453" t="str">
        <f t="shared" si="5"/>
        <v>B - Bergbau und Gewinnung von Steinen und Erden</v>
      </c>
      <c r="E269" s="454" t="s">
        <v>1681</v>
      </c>
      <c r="F269" s="454" t="s">
        <v>1682</v>
      </c>
      <c r="G269" s="460" t="s">
        <v>1683</v>
      </c>
      <c r="H269" s="454" t="s">
        <v>1684</v>
      </c>
      <c r="I269" s="454" t="str">
        <f t="shared" si="12"/>
        <v>[fr]B - Bergbau und Gewinnung von Steinen und Erden</v>
      </c>
      <c r="J269" s="454" t="str">
        <f t="shared" si="13"/>
        <v>[pt]B - Bergbau und Gewinnung von Steinen und Erden</v>
      </c>
      <c r="K269" s="454" t="str">
        <f t="shared" si="14"/>
        <v>[gr]B - Bergbau und Gewinnung von Steinen und Erden</v>
      </c>
    </row>
    <row r="270" spans="2:11" ht="28.5" customHeight="1">
      <c r="D270" s="453" t="str">
        <f t="shared" si="5"/>
        <v>C - Verarbeitendes Gewerbe (nicht weiter spezifiziert)</v>
      </c>
      <c r="E270" s="454" t="s">
        <v>1685</v>
      </c>
      <c r="F270" s="454" t="s">
        <v>1686</v>
      </c>
      <c r="G270" s="460" t="s">
        <v>1687</v>
      </c>
      <c r="H270" s="454" t="s">
        <v>1688</v>
      </c>
      <c r="I270" s="454" t="str">
        <f t="shared" si="12"/>
        <v>[fr]C - Verarbeitendes Gewerbe (nicht weiter spezifiziert)</v>
      </c>
      <c r="J270" s="454" t="str">
        <f t="shared" si="13"/>
        <v>[pt]C - Verarbeitendes Gewerbe (nicht weiter spezifiziert)</v>
      </c>
      <c r="K270" s="454" t="str">
        <f t="shared" si="14"/>
        <v>[gr]C - Verarbeitendes Gewerbe (nicht weiter spezifiziert)</v>
      </c>
    </row>
    <row r="271" spans="2:11" ht="28.5" customHeight="1">
      <c r="D271" s="453" t="str">
        <f t="shared" si="5"/>
        <v>Ca - Produktion von Lebensmittel, Getränken und Tabak (C10,C11,C12)</v>
      </c>
      <c r="E271" s="454" t="s">
        <v>1689</v>
      </c>
      <c r="F271" s="454" t="s">
        <v>1690</v>
      </c>
      <c r="G271" s="460" t="s">
        <v>1691</v>
      </c>
      <c r="H271" s="454" t="s">
        <v>1692</v>
      </c>
      <c r="I271" s="454" t="str">
        <f t="shared" si="12"/>
        <v>[fr]Ca - Produktion von Lebensmittel, Getränken und Tabak (C10,C11,C12)</v>
      </c>
      <c r="J271" s="454" t="str">
        <f t="shared" si="13"/>
        <v>[pt]Ca - Produktion von Lebensmittel, Getränken und Tabak (C10,C11,C12)</v>
      </c>
      <c r="K271" s="454" t="str">
        <f t="shared" si="14"/>
        <v>[gr]Ca - Produktion von Lebensmittel, Getränken und Tabak (C10,C11,C12)</v>
      </c>
    </row>
    <row r="272" spans="2:11" ht="28.5" customHeight="1">
      <c r="D272" s="453" t="str">
        <f t="shared" si="5"/>
        <v>Cb - Produktion von Textilien, Kleidung, Leder und Produkten hieraus (C13,C14,C15)</v>
      </c>
      <c r="E272" s="454" t="s">
        <v>1693</v>
      </c>
      <c r="F272" s="454" t="s">
        <v>1694</v>
      </c>
      <c r="G272" s="460" t="s">
        <v>1695</v>
      </c>
      <c r="H272" s="454" t="s">
        <v>1696</v>
      </c>
      <c r="I272" s="454" t="str">
        <f t="shared" si="12"/>
        <v>[fr]Cb - Produktion von Textilien, Kleidung, Leder und Produkten hieraus (C13,C14,C15)</v>
      </c>
      <c r="J272" s="454" t="str">
        <f t="shared" si="13"/>
        <v>[pt]Cb - Produktion von Textilien, Kleidung, Leder und Produkten hieraus (C13,C14,C15)</v>
      </c>
      <c r="K272" s="454" t="str">
        <f t="shared" si="14"/>
        <v>[gr]Cb - Produktion von Textilien, Kleidung, Leder und Produkten hieraus (C13,C14,C15)</v>
      </c>
    </row>
    <row r="273" spans="4:11" ht="41.85" customHeight="1">
      <c r="D273" s="453" t="str">
        <f t="shared" si="5"/>
        <v>Cc - Produktion von Holz- und Papierprodukten sowie Drucksorten (C16,C17,C18)</v>
      </c>
      <c r="E273" s="454" t="s">
        <v>1697</v>
      </c>
      <c r="F273" s="454" t="s">
        <v>1698</v>
      </c>
      <c r="G273" s="460" t="s">
        <v>1699</v>
      </c>
      <c r="H273" s="454" t="s">
        <v>1700</v>
      </c>
      <c r="I273" s="454" t="str">
        <f t="shared" si="12"/>
        <v>[fr]Cc - Produktion von Holz- und Papierprodukten sowie Drucksorten (C16,C17,C18)</v>
      </c>
      <c r="J273" s="454" t="str">
        <f t="shared" si="13"/>
        <v>[pt]Cc - Produktion von Holz- und Papierprodukten sowie Drucksorten (C16,C17,C18)</v>
      </c>
      <c r="K273" s="454" t="str">
        <f t="shared" si="14"/>
        <v>[gr]Cc - Produktion von Holz- und Papierprodukten sowie Drucksorten (C16,C17,C18)</v>
      </c>
    </row>
    <row r="274" spans="4:11" ht="41.85" customHeight="1">
      <c r="D274" s="453" t="str">
        <f t="shared" si="5"/>
        <v>Cd - Produktion von petrochemischen Produkte und Kunststoffen (C19, C20;C22)</v>
      </c>
      <c r="E274" s="454" t="s">
        <v>1701</v>
      </c>
      <c r="F274" s="454" t="s">
        <v>1702</v>
      </c>
      <c r="G274" s="460" t="s">
        <v>1703</v>
      </c>
      <c r="H274" s="454" t="s">
        <v>1704</v>
      </c>
      <c r="I274" s="454" t="str">
        <f t="shared" si="12"/>
        <v>[fr]Cd - Produktion von petrochemischen Produkte und Kunststoffen (C19, C20;C22)</v>
      </c>
      <c r="J274" s="454" t="str">
        <f t="shared" si="13"/>
        <v>[pt]Cd - Produktion von petrochemischen Produkte und Kunststoffen (C19, C20;C22)</v>
      </c>
      <c r="K274" s="454" t="str">
        <f t="shared" si="14"/>
        <v>[gr]Cd - Produktion von petrochemischen Produkte und Kunststoffen (C19, C20;C22)</v>
      </c>
    </row>
    <row r="275" spans="4:11" ht="28.5" customHeight="1">
      <c r="D275" s="453" t="str">
        <f t="shared" si="5"/>
        <v>Ce - Produktion von pharmazeutischen Produktion und Präparaten (C21)</v>
      </c>
      <c r="E275" s="454" t="s">
        <v>1705</v>
      </c>
      <c r="F275" s="454" t="s">
        <v>1706</v>
      </c>
      <c r="G275" s="460" t="s">
        <v>1707</v>
      </c>
      <c r="H275" s="454" t="s">
        <v>1708</v>
      </c>
      <c r="I275" s="454" t="str">
        <f t="shared" si="12"/>
        <v>[fr]Ce - Produktion von pharmazeutischen Produktion und Präparaten (C21)</v>
      </c>
      <c r="J275" s="454" t="str">
        <f t="shared" si="13"/>
        <v>[pt]Ce - Produktion von pharmazeutischen Produktion und Präparaten (C21)</v>
      </c>
      <c r="K275" s="454" t="str">
        <f t="shared" si="14"/>
        <v>[gr]Ce - Produktion von pharmazeutischen Produktion und Präparaten (C21)</v>
      </c>
    </row>
    <row r="276" spans="4:11" ht="28.5" customHeight="1">
      <c r="D276" s="453" t="str">
        <f t="shared" si="5"/>
        <v>Cf - Produktion nicht metallischer Mineralstoffe (C23)</v>
      </c>
      <c r="E276" s="454" t="s">
        <v>1709</v>
      </c>
      <c r="F276" s="454" t="s">
        <v>1710</v>
      </c>
      <c r="G276" s="460" t="s">
        <v>1711</v>
      </c>
      <c r="H276" s="454" t="s">
        <v>1712</v>
      </c>
      <c r="I276" s="454" t="str">
        <f t="shared" si="12"/>
        <v>[fr]Cf - Produktion nicht metallischer Mineralstoffe (C23)</v>
      </c>
      <c r="J276" s="454" t="str">
        <f t="shared" si="13"/>
        <v>[pt]Cf - Produktion nicht metallischer Mineralstoffe (C23)</v>
      </c>
      <c r="K276" s="454" t="str">
        <f t="shared" si="14"/>
        <v>[gr]Cf - Produktion nicht metallischer Mineralstoffe (C23)</v>
      </c>
    </row>
    <row r="277" spans="4:11" ht="54.75" customHeight="1">
      <c r="D277" s="453" t="str">
        <f t="shared" si="5"/>
        <v>Cg - Produktion von Metallen und metallischen Produkten (exkl. Maschinen und Geräten) (C24,C25)</v>
      </c>
      <c r="E277" s="454" t="s">
        <v>1713</v>
      </c>
      <c r="F277" s="454" t="s">
        <v>1714</v>
      </c>
      <c r="G277" s="460" t="s">
        <v>1715</v>
      </c>
      <c r="H277" s="454" t="s">
        <v>1716</v>
      </c>
      <c r="I277" s="454" t="str">
        <f t="shared" si="12"/>
        <v>[fr]Cg - Produktion von Metallen und metallischen Produkten (exkl. Maschinen und Geräten) (C24,C25)</v>
      </c>
      <c r="J277" s="454" t="str">
        <f t="shared" si="13"/>
        <v>[pt]Cg - Produktion von Metallen und metallischen Produkten (exkl. Maschinen und Geräten) (C24,C25)</v>
      </c>
      <c r="K277" s="454" t="str">
        <f t="shared" si="14"/>
        <v>[gr]Cg - Produktion von Metallen und metallischen Produkten (exkl. Maschinen und Geräten) (C24,C25)</v>
      </c>
    </row>
    <row r="278" spans="4:11" ht="54.75" customHeight="1">
      <c r="D278" s="453" t="str">
        <f t="shared" si="5"/>
        <v>Ch - Produktion von elektronischen, optischen und sonstigen Geräten und Bauteilen sowie Computer (C26,C27,C28)</v>
      </c>
      <c r="E278" s="454" t="s">
        <v>1717</v>
      </c>
      <c r="F278" s="454" t="s">
        <v>1718</v>
      </c>
      <c r="G278" s="460" t="s">
        <v>1719</v>
      </c>
      <c r="H278" s="454" t="s">
        <v>1720</v>
      </c>
      <c r="I278" s="454" t="str">
        <f t="shared" si="12"/>
        <v>[fr]Ch - Produktion von elektronischen, optischen und sonstigen Geräten und Bauteilen sowie Computer (C26,C27,C28)</v>
      </c>
      <c r="J278" s="454" t="str">
        <f t="shared" si="13"/>
        <v>[pt]Ch - Produktion von elektronischen, optischen und sonstigen Geräten und Bauteilen sowie Computer (C26,C27,C28)</v>
      </c>
      <c r="K278" s="454" t="str">
        <f t="shared" si="14"/>
        <v>[gr]Ch - Produktion von elektronischen, optischen und sonstigen Geräten und Bauteilen sowie Computer (C26,C27,C28)</v>
      </c>
    </row>
    <row r="279" spans="4:11" ht="28.5" customHeight="1">
      <c r="D279" s="453" t="str">
        <f t="shared" si="5"/>
        <v xml:space="preserve">D - Strom-, Gas-, Dampfversorgung und Kühlung </v>
      </c>
      <c r="E279" s="454" t="s">
        <v>1721</v>
      </c>
      <c r="F279" s="454" t="s">
        <v>1722</v>
      </c>
      <c r="G279" s="460" t="s">
        <v>1723</v>
      </c>
      <c r="H279" s="454" t="s">
        <v>1724</v>
      </c>
      <c r="I279" s="454" t="str">
        <f t="shared" si="12"/>
        <v xml:space="preserve">[fr]D - Strom-, Gas-, Dampfversorgung und Kühlung </v>
      </c>
      <c r="J279" s="454" t="str">
        <f t="shared" si="13"/>
        <v xml:space="preserve">[pt]D - Strom-, Gas-, Dampfversorgung und Kühlung </v>
      </c>
      <c r="K279" s="454" t="str">
        <f t="shared" si="14"/>
        <v xml:space="preserve">[gr]D - Strom-, Gas-, Dampfversorgung und Kühlung </v>
      </c>
    </row>
    <row r="280" spans="4:11" ht="28.5" customHeight="1">
      <c r="D280" s="453" t="str">
        <f t="shared" si="5"/>
        <v>E - Wasserversorgung, Abfallwirtschaft</v>
      </c>
      <c r="E280" s="454" t="s">
        <v>1725</v>
      </c>
      <c r="F280" s="454" t="s">
        <v>1726</v>
      </c>
      <c r="G280" s="460" t="s">
        <v>1727</v>
      </c>
      <c r="H280" s="454" t="s">
        <v>1728</v>
      </c>
      <c r="I280" s="454" t="str">
        <f t="shared" si="12"/>
        <v>[fr]E - Wasserversorgung, Abfallwirtschaft</v>
      </c>
      <c r="J280" s="454" t="str">
        <f t="shared" si="13"/>
        <v>[pt]E - Wasserversorgung, Abfallwirtschaft</v>
      </c>
      <c r="K280" s="454" t="str">
        <f t="shared" si="14"/>
        <v>[gr]E - Wasserversorgung, Abfallwirtschaft</v>
      </c>
    </row>
    <row r="281" spans="4:11" ht="15.75" customHeight="1">
      <c r="D281" s="453" t="str">
        <f t="shared" si="5"/>
        <v>F - Baugewerbe</v>
      </c>
      <c r="E281" s="454" t="s">
        <v>1729</v>
      </c>
      <c r="F281" s="454" t="s">
        <v>1730</v>
      </c>
      <c r="G281" s="460" t="s">
        <v>1731</v>
      </c>
      <c r="H281" s="454" t="s">
        <v>1732</v>
      </c>
      <c r="I281" s="454" t="str">
        <f t="shared" si="12"/>
        <v>[fr]F - Baugewerbe</v>
      </c>
      <c r="J281" s="454" t="str">
        <f t="shared" si="13"/>
        <v>[pt]F - Baugewerbe</v>
      </c>
      <c r="K281" s="454" t="str">
        <f t="shared" si="14"/>
        <v>[gr]F - Baugewerbe</v>
      </c>
    </row>
    <row r="282" spans="4:11" ht="41.85" customHeight="1">
      <c r="D282" s="453" t="str">
        <f t="shared" si="5"/>
        <v>G - Groß- und Einzelhandel sowie Werkstätten für Kraftfahrzeuge (Anmerkung: Groß- und Einzelhandel nicht auf KFZ beschränkt)</v>
      </c>
      <c r="E282" s="459" t="s">
        <v>1733</v>
      </c>
      <c r="F282" s="454" t="s">
        <v>1734</v>
      </c>
      <c r="G282" s="460" t="s">
        <v>1735</v>
      </c>
      <c r="H282" s="454" t="s">
        <v>1736</v>
      </c>
      <c r="I282" s="454" t="str">
        <f t="shared" si="12"/>
        <v>[fr]G - Groß- und Einzelhandel sowie Werkstätten für Kraftfahrzeuge (Anmerkung: Groß- und Einzelhandel nicht auf KFZ beschränkt)</v>
      </c>
      <c r="J282" s="454" t="str">
        <f t="shared" si="13"/>
        <v>[pt]G - Groß- und Einzelhandel sowie Werkstätten für Kraftfahrzeuge (Anmerkung: Groß- und Einzelhandel nicht auf KFZ beschränkt)</v>
      </c>
      <c r="K282" s="454" t="str">
        <f t="shared" si="14"/>
        <v>[gr]G - Groß- und Einzelhandel sowie Werkstätten für Kraftfahrzeuge (Anmerkung: Groß- und Einzelhandel nicht auf KFZ beschränkt)</v>
      </c>
    </row>
    <row r="283" spans="4:11" ht="15.75" customHeight="1">
      <c r="D283" s="453" t="str">
        <f t="shared" si="5"/>
        <v>H - Verkehr und Lagerhaltung</v>
      </c>
      <c r="E283" s="454" t="s">
        <v>1737</v>
      </c>
      <c r="F283" s="454" t="s">
        <v>1738</v>
      </c>
      <c r="G283" s="460" t="s">
        <v>1739</v>
      </c>
      <c r="H283" s="454" t="s">
        <v>1740</v>
      </c>
      <c r="I283" s="454" t="str">
        <f t="shared" si="12"/>
        <v>[fr]H - Verkehr und Lagerhaltung</v>
      </c>
      <c r="J283" s="454" t="str">
        <f t="shared" si="13"/>
        <v>[pt]H - Verkehr und Lagerhaltung</v>
      </c>
      <c r="K283" s="454" t="str">
        <f t="shared" si="14"/>
        <v>[gr]H - Verkehr und Lagerhaltung</v>
      </c>
    </row>
    <row r="284" spans="4:11" ht="15.75" customHeight="1">
      <c r="D284" s="453" t="str">
        <f t="shared" si="5"/>
        <v>I - Beherbergung und Gastronomie</v>
      </c>
      <c r="E284" s="454" t="s">
        <v>1741</v>
      </c>
      <c r="F284" s="454" t="s">
        <v>1742</v>
      </c>
      <c r="G284" s="460" t="s">
        <v>1743</v>
      </c>
      <c r="H284" s="454" t="s">
        <v>1744</v>
      </c>
      <c r="I284" s="454" t="str">
        <f t="shared" si="12"/>
        <v>[fr]I - Beherbergung und Gastronomie</v>
      </c>
      <c r="J284" s="454" t="str">
        <f t="shared" si="13"/>
        <v>[pt]I - Beherbergung und Gastronomie</v>
      </c>
      <c r="K284" s="454" t="str">
        <f t="shared" si="14"/>
        <v>[gr]I - Beherbergung und Gastronomie</v>
      </c>
    </row>
    <row r="285" spans="4:11" ht="15.75" customHeight="1">
      <c r="D285" s="453" t="str">
        <f t="shared" si="5"/>
        <v>J - Information und Kommunikation</v>
      </c>
      <c r="E285" s="454" t="s">
        <v>1745</v>
      </c>
      <c r="F285" s="454" t="s">
        <v>1746</v>
      </c>
      <c r="G285" s="460" t="s">
        <v>1747</v>
      </c>
      <c r="H285" s="454" t="s">
        <v>1748</v>
      </c>
      <c r="I285" s="454" t="str">
        <f t="shared" si="12"/>
        <v>[fr]J - Information und Kommunikation</v>
      </c>
      <c r="J285" s="454" t="str">
        <f t="shared" si="13"/>
        <v>[pt]J - Information und Kommunikation</v>
      </c>
      <c r="K285" s="454" t="str">
        <f t="shared" si="14"/>
        <v>[gr]J - Information und Kommunikation</v>
      </c>
    </row>
    <row r="286" spans="4:11" ht="15.75" customHeight="1">
      <c r="D286" s="453" t="str">
        <f t="shared" si="5"/>
        <v>K - Kredit- und Finanzwesen</v>
      </c>
      <c r="E286" s="454" t="s">
        <v>1749</v>
      </c>
      <c r="F286" s="454" t="s">
        <v>1750</v>
      </c>
      <c r="G286" s="460" t="s">
        <v>1751</v>
      </c>
      <c r="H286" s="454" t="s">
        <v>1752</v>
      </c>
      <c r="I286" s="454" t="str">
        <f t="shared" si="12"/>
        <v>[fr]K - Kredit- und Finanzwesen</v>
      </c>
      <c r="J286" s="454" t="str">
        <f t="shared" si="13"/>
        <v>[pt]K - Kredit- und Finanzwesen</v>
      </c>
      <c r="K286" s="454" t="str">
        <f t="shared" si="14"/>
        <v>[gr]K - Kredit- und Finanzwesen</v>
      </c>
    </row>
    <row r="287" spans="4:11" ht="15.75" customHeight="1">
      <c r="D287" s="453" t="str">
        <f t="shared" si="5"/>
        <v>L - (Immobilienwirtschaft</v>
      </c>
      <c r="E287" s="454" t="s">
        <v>1753</v>
      </c>
      <c r="F287" s="454" t="s">
        <v>1754</v>
      </c>
      <c r="G287" s="460" t="s">
        <v>1755</v>
      </c>
      <c r="H287" s="454" t="s">
        <v>1756</v>
      </c>
      <c r="I287" s="454" t="str">
        <f t="shared" si="12"/>
        <v>[fr]L - (Immobilienwirtschaft</v>
      </c>
      <c r="J287" s="454" t="str">
        <f t="shared" si="13"/>
        <v>[pt]L - (Immobilienwirtschaft</v>
      </c>
      <c r="K287" s="454" t="str">
        <f t="shared" si="14"/>
        <v>[gr]L - (Immobilienwirtschaft</v>
      </c>
    </row>
    <row r="288" spans="4:11" ht="28.5" customHeight="1">
      <c r="D288" s="453" t="str">
        <f t="shared" si="5"/>
        <v>M - Freiberufliche, wissenschaftliche und technische Dienstleistungen</v>
      </c>
      <c r="E288" s="454" t="s">
        <v>1757</v>
      </c>
      <c r="F288" s="454" t="s">
        <v>1758</v>
      </c>
      <c r="G288" s="460" t="s">
        <v>1759</v>
      </c>
      <c r="H288" s="454" t="s">
        <v>1760</v>
      </c>
      <c r="I288" s="454" t="str">
        <f t="shared" si="12"/>
        <v>[fr]M - Freiberufliche, wissenschaftliche und technische Dienstleistungen</v>
      </c>
      <c r="J288" s="454" t="str">
        <f t="shared" si="13"/>
        <v>[pt]M - Freiberufliche, wissenschaftliche und technische Dienstleistungen</v>
      </c>
      <c r="K288" s="454" t="str">
        <f t="shared" si="14"/>
        <v>[gr]M - Freiberufliche, wissenschaftliche und technische Dienstleistungen</v>
      </c>
    </row>
    <row r="289" spans="1:11" ht="28.5" customHeight="1">
      <c r="D289" s="453" t="str">
        <f t="shared" si="5"/>
        <v>N - Administrative und unterstützende Dienstleistungen</v>
      </c>
      <c r="E289" s="454" t="s">
        <v>1761</v>
      </c>
      <c r="F289" s="454" t="s">
        <v>1762</v>
      </c>
      <c r="G289" s="460" t="s">
        <v>1763</v>
      </c>
      <c r="H289" s="454" t="s">
        <v>1764</v>
      </c>
      <c r="I289" s="454" t="str">
        <f t="shared" si="12"/>
        <v>[fr]N - Administrative und unterstützende Dienstleistungen</v>
      </c>
      <c r="J289" s="454" t="str">
        <f t="shared" si="13"/>
        <v>[pt]N - Administrative und unterstützende Dienstleistungen</v>
      </c>
      <c r="K289" s="454" t="str">
        <f t="shared" si="14"/>
        <v>[gr]N - Administrative und unterstützende Dienstleistungen</v>
      </c>
    </row>
    <row r="290" spans="1:11" ht="28.5" customHeight="1">
      <c r="D290" s="453" t="str">
        <f t="shared" si="5"/>
        <v>O - Öffentliche Verwaltung; Verteidigung; Sozialversicherungswesen</v>
      </c>
      <c r="E290" s="454" t="s">
        <v>1765</v>
      </c>
      <c r="F290" s="454" t="s">
        <v>1766</v>
      </c>
      <c r="G290" s="460" t="s">
        <v>1767</v>
      </c>
      <c r="H290" s="454" t="s">
        <v>1768</v>
      </c>
      <c r="I290" s="454" t="str">
        <f t="shared" si="12"/>
        <v>[fr]O - Öffentliche Verwaltung; Verteidigung; Sozialversicherungswesen</v>
      </c>
      <c r="J290" s="454" t="str">
        <f t="shared" si="13"/>
        <v>[pt]O - Öffentliche Verwaltung; Verteidigung; Sozialversicherungswesen</v>
      </c>
      <c r="K290" s="454" t="str">
        <f t="shared" si="14"/>
        <v>[gr]O - Öffentliche Verwaltung; Verteidigung; Sozialversicherungswesen</v>
      </c>
    </row>
    <row r="291" spans="1:11" ht="15.75" customHeight="1">
      <c r="D291" s="453" t="str">
        <f t="shared" si="5"/>
        <v>P - Bildung</v>
      </c>
      <c r="E291" s="454" t="s">
        <v>8</v>
      </c>
      <c r="F291" s="454" t="s">
        <v>1769</v>
      </c>
      <c r="G291" s="460" t="s">
        <v>1770</v>
      </c>
      <c r="H291" s="454" t="s">
        <v>1771</v>
      </c>
      <c r="I291" s="454" t="str">
        <f t="shared" si="12"/>
        <v>[fr]P - Bildung</v>
      </c>
      <c r="J291" s="454" t="str">
        <f t="shared" si="13"/>
        <v>[pt]P - Bildung</v>
      </c>
      <c r="K291" s="454" t="str">
        <f t="shared" si="14"/>
        <v>[gr]P - Bildung</v>
      </c>
    </row>
    <row r="292" spans="1:11" ht="28.5" customHeight="1">
      <c r="D292" s="453" t="str">
        <f t="shared" si="5"/>
        <v>Q - Gesundheit und Sozialarbeit</v>
      </c>
      <c r="E292" s="454" t="s">
        <v>1772</v>
      </c>
      <c r="F292" s="454" t="s">
        <v>1773</v>
      </c>
      <c r="G292" s="460" t="s">
        <v>1774</v>
      </c>
      <c r="H292" s="454" t="s">
        <v>1775</v>
      </c>
      <c r="I292" s="454" t="str">
        <f t="shared" si="12"/>
        <v>[fr]Q - Gesundheit und Sozialarbeit</v>
      </c>
      <c r="J292" s="454" t="str">
        <f t="shared" si="13"/>
        <v>[pt]Q - Gesundheit und Sozialarbeit</v>
      </c>
      <c r="K292" s="454" t="str">
        <f t="shared" si="14"/>
        <v>[gr]Q - Gesundheit und Sozialarbeit</v>
      </c>
    </row>
    <row r="293" spans="1:11" ht="28.5" customHeight="1">
      <c r="D293" s="453" t="str">
        <f t="shared" si="5"/>
        <v>R - Kunst, Unterhaltung und Erholung</v>
      </c>
      <c r="E293" s="454" t="s">
        <v>1776</v>
      </c>
      <c r="F293" s="454" t="s">
        <v>1777</v>
      </c>
      <c r="G293" s="460" t="s">
        <v>1778</v>
      </c>
      <c r="H293" s="454" t="s">
        <v>1779</v>
      </c>
      <c r="I293" s="454" t="str">
        <f t="shared" si="12"/>
        <v>[fr]R - Kunst, Unterhaltung und Erholung</v>
      </c>
      <c r="J293" s="454" t="str">
        <f t="shared" si="13"/>
        <v>[pt]R - Kunst, Unterhaltung und Erholung</v>
      </c>
      <c r="K293" s="454" t="str">
        <f t="shared" si="14"/>
        <v>[gr]R - Kunst, Unterhaltung und Erholung</v>
      </c>
    </row>
    <row r="294" spans="1:11" ht="15.75" customHeight="1">
      <c r="D294" s="453" t="str">
        <f t="shared" ref="D294:D338" si="15">HLOOKUP($C$1,$E$1:$X$4910,ROW(D294))</f>
        <v>S - Andere Dienstleistungen</v>
      </c>
      <c r="E294" s="454" t="s">
        <v>1780</v>
      </c>
      <c r="F294" s="454" t="s">
        <v>1781</v>
      </c>
      <c r="G294" s="460" t="s">
        <v>1782</v>
      </c>
      <c r="H294" s="454" t="s">
        <v>1783</v>
      </c>
      <c r="I294" s="454" t="str">
        <f t="shared" si="12"/>
        <v>[fr]S - Andere Dienstleistungen</v>
      </c>
      <c r="J294" s="454" t="str">
        <f t="shared" si="13"/>
        <v>[pt]S - Andere Dienstleistungen</v>
      </c>
      <c r="K294" s="454" t="str">
        <f t="shared" si="14"/>
        <v>[gr]S - Andere Dienstleistungen</v>
      </c>
    </row>
    <row r="295" spans="1:11" ht="54.75" customHeight="1">
      <c r="A295" s="520"/>
      <c r="B295" s="520"/>
      <c r="C295" s="520"/>
      <c r="D295" s="453" t="str">
        <f t="shared" si="15"/>
        <v>T - Private Haushalte</v>
      </c>
      <c r="E295" s="459" t="s">
        <v>1784</v>
      </c>
      <c r="F295" s="454" t="s">
        <v>1785</v>
      </c>
      <c r="G295" s="460" t="s">
        <v>1468</v>
      </c>
      <c r="H295" s="454" t="s">
        <v>1786</v>
      </c>
      <c r="I295" s="454" t="str">
        <f t="shared" si="12"/>
        <v>[fr]T - Private Haushalte</v>
      </c>
      <c r="J295" s="454" t="str">
        <f t="shared" si="13"/>
        <v>[pt]T - Private Haushalte</v>
      </c>
      <c r="K295" s="454" t="str">
        <f t="shared" si="14"/>
        <v>[gr]T - Private Haushalte</v>
      </c>
    </row>
    <row r="296" spans="1:11" ht="28.5" customHeight="1">
      <c r="D296" s="453" t="str">
        <f t="shared" si="15"/>
        <v>U - Exterritoriale Organisationen und Körperschaften</v>
      </c>
      <c r="E296" s="454" t="s">
        <v>1787</v>
      </c>
      <c r="F296" s="454" t="s">
        <v>1788</v>
      </c>
      <c r="G296" s="460" t="s">
        <v>1789</v>
      </c>
      <c r="H296" s="454" t="s">
        <v>1790</v>
      </c>
      <c r="I296" s="454" t="str">
        <f t="shared" si="12"/>
        <v>[fr]U - Exterritoriale Organisationen und Körperschaften</v>
      </c>
      <c r="J296" s="454" t="str">
        <f t="shared" si="13"/>
        <v>[pt]U - Exterritoriale Organisationen und Körperschaften</v>
      </c>
      <c r="K296" s="454" t="str">
        <f t="shared" si="14"/>
        <v>[gr]U - Exterritoriale Organisationen und Körperschaften</v>
      </c>
    </row>
    <row r="297" spans="1:11" ht="15.75" customHeight="1">
      <c r="D297" s="453" t="str">
        <f t="shared" si="15"/>
        <v>Gesamt-Ausgaben an Lieferanten (in Euro):</v>
      </c>
      <c r="E297" s="454" t="s">
        <v>1791</v>
      </c>
      <c r="F297" s="454" t="s">
        <v>1792</v>
      </c>
      <c r="G297" s="460" t="s">
        <v>1793</v>
      </c>
      <c r="H297" s="454" t="s">
        <v>1794</v>
      </c>
      <c r="I297" s="454" t="str">
        <f t="shared" si="12"/>
        <v>[fr]Gesamt-Ausgaben an Lieferanten (in Euro):</v>
      </c>
      <c r="J297" s="454" t="str">
        <f t="shared" si="13"/>
        <v>[pt]Gesamt-Ausgaben an Lieferanten (in Euro):</v>
      </c>
      <c r="K297" s="454" t="str">
        <f t="shared" si="14"/>
        <v>[gr]Gesamt-Ausgaben an Lieferanten (in Euro):</v>
      </c>
    </row>
    <row r="298" spans="1:11" ht="41.85" customHeight="1">
      <c r="D298" s="453" t="str">
        <f t="shared" si="15"/>
        <v xml:space="preserve">Tragen Sie nachstehend, bitte die 5 wichtigstenBranchen ein, aus denen Sie Produkte/Dienstleistungen beziehen. </v>
      </c>
      <c r="E298" s="454" t="s">
        <v>1795</v>
      </c>
      <c r="F298" s="454" t="s">
        <v>1796</v>
      </c>
      <c r="G298" s="460" t="s">
        <v>1797</v>
      </c>
      <c r="H298" s="454" t="s">
        <v>1798</v>
      </c>
      <c r="I298" s="454" t="str">
        <f t="shared" si="12"/>
        <v xml:space="preserve">[fr]Tragen Sie nachstehend, bitte die 5 wichtigstenBranchen ein, aus denen Sie Produkte/Dienstleistungen beziehen. </v>
      </c>
      <c r="J298" s="454" t="str">
        <f t="shared" si="13"/>
        <v xml:space="preserve">[pt]Tragen Sie nachstehend, bitte die 5 wichtigstenBranchen ein, aus denen Sie Produkte/Dienstleistungen beziehen. </v>
      </c>
      <c r="K298" s="454" t="str">
        <f t="shared" si="14"/>
        <v xml:space="preserve">[gr]Tragen Sie nachstehend, bitte die 5 wichtigstenBranchen ein, aus denen Sie Produkte/Dienstleistungen beziehen. </v>
      </c>
    </row>
    <row r="299" spans="1:11" ht="15.75" customHeight="1">
      <c r="D299" s="453" t="str">
        <f t="shared" si="15"/>
        <v>Branche</v>
      </c>
      <c r="E299" s="454" t="s">
        <v>1799</v>
      </c>
      <c r="F299" s="454" t="s">
        <v>1800</v>
      </c>
      <c r="G299" s="460" t="s">
        <v>1801</v>
      </c>
      <c r="H299" s="454" t="s">
        <v>1802</v>
      </c>
      <c r="I299" s="454" t="str">
        <f t="shared" si="12"/>
        <v>[fr]Branche</v>
      </c>
      <c r="J299" s="454" t="str">
        <f t="shared" si="13"/>
        <v>[pt]Branche</v>
      </c>
      <c r="K299" s="454" t="str">
        <f t="shared" si="14"/>
        <v>[gr]Branche</v>
      </c>
    </row>
    <row r="300" spans="1:11" ht="15.75" customHeight="1">
      <c r="D300" s="453" t="str">
        <f t="shared" si="15"/>
        <v>Beschreibung</v>
      </c>
      <c r="E300" s="454" t="s">
        <v>1803</v>
      </c>
      <c r="F300" s="454" t="s">
        <v>1013</v>
      </c>
      <c r="G300" s="460" t="s">
        <v>1804</v>
      </c>
      <c r="H300" s="454" t="s">
        <v>1805</v>
      </c>
      <c r="I300" s="454" t="str">
        <f t="shared" si="12"/>
        <v>[fr]Beschreibung</v>
      </c>
      <c r="J300" s="454" t="str">
        <f t="shared" si="13"/>
        <v>[pt]Beschreibung</v>
      </c>
      <c r="K300" s="454" t="str">
        <f t="shared" si="14"/>
        <v>[gr]Beschreibung</v>
      </c>
    </row>
    <row r="301" spans="1:11" ht="15.75" customHeight="1">
      <c r="D301" s="453" t="str">
        <f t="shared" si="15"/>
        <v>regionale Herkunft</v>
      </c>
      <c r="E301" s="454" t="s">
        <v>1806</v>
      </c>
      <c r="F301" s="454" t="s">
        <v>1807</v>
      </c>
      <c r="G301" s="460" t="s">
        <v>1808</v>
      </c>
      <c r="H301" s="454" t="s">
        <v>1809</v>
      </c>
      <c r="I301" s="454" t="str">
        <f t="shared" si="12"/>
        <v>[fr]regionale Herkunft</v>
      </c>
      <c r="J301" s="454" t="str">
        <f t="shared" si="13"/>
        <v>[pt]regionale Herkunft</v>
      </c>
      <c r="K301" s="454" t="str">
        <f t="shared" si="14"/>
        <v>[gr]regionale Herkunft</v>
      </c>
    </row>
    <row r="302" spans="1:11" ht="15.75" customHeight="1">
      <c r="D302" s="453" t="str">
        <f t="shared" si="15"/>
        <v>Ausgaben</v>
      </c>
      <c r="E302" s="454" t="s">
        <v>1810</v>
      </c>
      <c r="F302" s="454" t="s">
        <v>1811</v>
      </c>
      <c r="G302" s="460" t="s">
        <v>1812</v>
      </c>
      <c r="H302" s="454" t="s">
        <v>1813</v>
      </c>
      <c r="I302" s="454" t="str">
        <f t="shared" si="12"/>
        <v>[fr]Ausgaben</v>
      </c>
      <c r="J302" s="454" t="str">
        <f t="shared" si="13"/>
        <v>[pt]Ausgaben</v>
      </c>
      <c r="K302" s="454" t="str">
        <f t="shared" si="14"/>
        <v>[gr]Ausgaben</v>
      </c>
    </row>
    <row r="303" spans="1:11" ht="28.5" customHeight="1">
      <c r="D303" s="453" t="str">
        <f t="shared" si="15"/>
        <v>Überwiegende Herkunft restlicher Lieferanten</v>
      </c>
      <c r="E303" s="454" t="s">
        <v>1814</v>
      </c>
      <c r="F303" s="454" t="s">
        <v>1815</v>
      </c>
      <c r="G303" s="460" t="s">
        <v>1816</v>
      </c>
      <c r="H303" s="454" t="s">
        <v>1817</v>
      </c>
      <c r="I303" s="454" t="str">
        <f t="shared" si="12"/>
        <v>[fr]Überwiegende Herkunft restlicher Lieferanten</v>
      </c>
      <c r="J303" s="454" t="str">
        <f t="shared" si="13"/>
        <v>[pt]Überwiegende Herkunft restlicher Lieferanten</v>
      </c>
      <c r="K303" s="454" t="str">
        <f t="shared" si="14"/>
        <v>[gr]Überwiegende Herkunft restlicher Lieferanten</v>
      </c>
    </row>
    <row r="304" spans="1:11" ht="15.75" customHeight="1">
      <c r="D304" s="453" t="str">
        <f t="shared" si="15"/>
        <v>Gewinn (EBIT):</v>
      </c>
      <c r="E304" s="454" t="s">
        <v>1818</v>
      </c>
      <c r="F304" s="474" t="s">
        <v>1819</v>
      </c>
      <c r="G304" s="460" t="s">
        <v>1820</v>
      </c>
      <c r="H304" s="454" t="s">
        <v>1821</v>
      </c>
      <c r="I304" s="454" t="str">
        <f t="shared" si="12"/>
        <v>[fr]Gewinn (EBIT):</v>
      </c>
      <c r="J304" s="454" t="str">
        <f t="shared" si="13"/>
        <v>[pt]Gewinn (EBIT):</v>
      </c>
      <c r="K304" s="454" t="str">
        <f t="shared" si="14"/>
        <v>[gr]Gewinn (EBIT):</v>
      </c>
    </row>
    <row r="305" spans="4:11" ht="15.75" customHeight="1">
      <c r="D305" s="453" t="str">
        <f t="shared" si="15"/>
        <v>Finanzierungskosten</v>
      </c>
      <c r="E305" s="454" t="s">
        <v>1822</v>
      </c>
      <c r="F305" s="454" t="s">
        <v>1823</v>
      </c>
      <c r="G305" s="460" t="s">
        <v>1824</v>
      </c>
      <c r="H305" s="454" t="s">
        <v>1825</v>
      </c>
      <c r="I305" s="454" t="str">
        <f t="shared" si="12"/>
        <v>[fr]Finanzierungskosten</v>
      </c>
      <c r="J305" s="454" t="str">
        <f t="shared" si="13"/>
        <v>[pt]Finanzierungskosten</v>
      </c>
      <c r="K305" s="454" t="str">
        <f t="shared" si="14"/>
        <v>[gr]Finanzierungskosten</v>
      </c>
    </row>
    <row r="306" spans="4:11" ht="15.75" customHeight="1">
      <c r="D306" s="453" t="str">
        <f t="shared" si="15"/>
        <v>Erträge aus Finanzanlagen</v>
      </c>
      <c r="E306" s="454" t="s">
        <v>1826</v>
      </c>
      <c r="F306" s="454" t="s">
        <v>1827</v>
      </c>
      <c r="G306" s="460" t="s">
        <v>1828</v>
      </c>
      <c r="H306" s="454" t="s">
        <v>1829</v>
      </c>
      <c r="I306" s="454" t="str">
        <f t="shared" si="12"/>
        <v>[fr]Erträge aus Finanzanlagen</v>
      </c>
      <c r="J306" s="454" t="str">
        <f t="shared" si="13"/>
        <v>[pt]Erträge aus Finanzanlagen</v>
      </c>
      <c r="K306" s="454" t="str">
        <f t="shared" si="14"/>
        <v>[gr]Erträge aus Finanzanlagen</v>
      </c>
    </row>
    <row r="307" spans="4:11" ht="15.75" customHeight="1">
      <c r="D307" s="453" t="str">
        <f t="shared" si="15"/>
        <v>Bilanzaktiva</v>
      </c>
      <c r="E307" s="454" t="s">
        <v>1830</v>
      </c>
      <c r="F307" s="474" t="s">
        <v>1831</v>
      </c>
      <c r="G307" s="460" t="s">
        <v>1832</v>
      </c>
      <c r="H307" s="454" t="s">
        <v>1833</v>
      </c>
      <c r="I307" s="454" t="str">
        <f t="shared" si="12"/>
        <v>[fr]Bilanzaktiva</v>
      </c>
      <c r="J307" s="454" t="str">
        <f t="shared" si="13"/>
        <v>[pt]Bilanzaktiva</v>
      </c>
      <c r="K307" s="454" t="str">
        <f t="shared" si="14"/>
        <v>[gr]Bilanzaktiva</v>
      </c>
    </row>
    <row r="308" spans="4:11" ht="15.75" customHeight="1">
      <c r="D308" s="453" t="str">
        <f t="shared" si="15"/>
        <v xml:space="preserve">Zugänge zum Anlagevermögen </v>
      </c>
      <c r="E308" s="454" t="s">
        <v>1834</v>
      </c>
      <c r="F308" s="474" t="s">
        <v>1835</v>
      </c>
      <c r="G308" s="460" t="s">
        <v>1836</v>
      </c>
      <c r="H308" s="454" t="s">
        <v>1837</v>
      </c>
      <c r="I308" s="454" t="str">
        <f t="shared" si="12"/>
        <v xml:space="preserve">[fr]Zugänge zum Anlagevermögen </v>
      </c>
      <c r="J308" s="454" t="str">
        <f t="shared" si="13"/>
        <v xml:space="preserve">[pt]Zugänge zum Anlagevermögen </v>
      </c>
      <c r="K308" s="454" t="str">
        <f t="shared" si="14"/>
        <v xml:space="preserve">[gr]Zugänge zum Anlagevermögen </v>
      </c>
    </row>
    <row r="309" spans="4:11" ht="15.75" customHeight="1">
      <c r="D309" s="453" t="str">
        <f t="shared" si="15"/>
        <v>Finanzanlagen und Barguthaben</v>
      </c>
      <c r="E309" s="454" t="s">
        <v>1838</v>
      </c>
      <c r="F309" s="474" t="s">
        <v>1839</v>
      </c>
      <c r="G309" s="460" t="s">
        <v>1840</v>
      </c>
      <c r="H309" s="454" t="s">
        <v>1841</v>
      </c>
      <c r="I309" s="454" t="str">
        <f t="shared" si="12"/>
        <v>[fr]Finanzanlagen und Barguthaben</v>
      </c>
      <c r="J309" s="454" t="str">
        <f t="shared" si="13"/>
        <v>[pt]Finanzanlagen und Barguthaben</v>
      </c>
      <c r="K309" s="454" t="str">
        <f t="shared" si="14"/>
        <v>[gr]Finanzanlagen und Barguthaben</v>
      </c>
    </row>
    <row r="310" spans="4:11" ht="28.5" customHeight="1">
      <c r="D310" s="453" t="str">
        <f t="shared" si="15"/>
        <v xml:space="preserve">Anzahl der Mitarbeitenden (in Vollzeitäquivalenten): </v>
      </c>
      <c r="E310" s="454" t="s">
        <v>1842</v>
      </c>
      <c r="F310" s="454" t="s">
        <v>1843</v>
      </c>
      <c r="G310" s="460" t="s">
        <v>1844</v>
      </c>
      <c r="H310" s="454" t="s">
        <v>1845</v>
      </c>
      <c r="I310" s="454" t="str">
        <f t="shared" si="12"/>
        <v xml:space="preserve">[fr]Anzahl der Mitarbeitenden (in Vollzeitäquivalenten): </v>
      </c>
      <c r="J310" s="454" t="str">
        <f t="shared" si="13"/>
        <v xml:space="preserve">[pt]Anzahl der Mitarbeitenden (in Vollzeitäquivalenten): </v>
      </c>
      <c r="K310" s="454" t="str">
        <f t="shared" si="14"/>
        <v xml:space="preserve">[gr]Anzahl der Mitarbeitenden (in Vollzeitäquivalenten): </v>
      </c>
    </row>
    <row r="311" spans="4:11" ht="28.5" customHeight="1">
      <c r="D311" s="453" t="str">
        <f t="shared" si="15"/>
        <v>Personalkosten (brutto ohne Dienstgeberanteil)</v>
      </c>
      <c r="E311" s="454" t="s">
        <v>1846</v>
      </c>
      <c r="F311" s="454" t="s">
        <v>1847</v>
      </c>
      <c r="G311" s="460" t="s">
        <v>1848</v>
      </c>
      <c r="H311" s="454" t="s">
        <v>1849</v>
      </c>
      <c r="I311" s="454" t="str">
        <f t="shared" si="12"/>
        <v>[fr]Personalkosten (brutto ohne Dienstgeberanteil)</v>
      </c>
      <c r="J311" s="454" t="str">
        <f t="shared" si="13"/>
        <v>[pt]Personalkosten (brutto ohne Dienstgeberanteil)</v>
      </c>
      <c r="K311" s="454" t="str">
        <f t="shared" si="14"/>
        <v>[gr]Personalkosten (brutto ohne Dienstgeberanteil)</v>
      </c>
    </row>
    <row r="312" spans="4:11" ht="41.85" customHeight="1">
      <c r="D312" s="453" t="str">
        <f t="shared" si="15"/>
        <v>Tragen Sie bitte nachstehend jene drei Länder und Regionen ein, wo die meisten Mitarbeitenden arbeiten</v>
      </c>
      <c r="E312" s="459" t="s">
        <v>1850</v>
      </c>
      <c r="F312" s="454" t="s">
        <v>1851</v>
      </c>
      <c r="G312" s="460" t="s">
        <v>1852</v>
      </c>
      <c r="H312" s="454" t="s">
        <v>1853</v>
      </c>
      <c r="I312" s="454" t="str">
        <f t="shared" si="12"/>
        <v>[fr]Tragen Sie bitte nachstehend jene drei Länder und Regionen ein, wo die meisten Mitarbeitenden arbeiten</v>
      </c>
      <c r="J312" s="454" t="str">
        <f t="shared" si="13"/>
        <v>[pt]Tragen Sie bitte nachstehend jene drei Länder und Regionen ein, wo die meisten Mitarbeitenden arbeiten</v>
      </c>
      <c r="K312" s="454" t="str">
        <f t="shared" si="14"/>
        <v>[gr]Tragen Sie bitte nachstehend jene drei Länder und Regionen ein, wo die meisten Mitarbeitenden arbeiten</v>
      </c>
    </row>
    <row r="313" spans="4:11" ht="15.75" customHeight="1">
      <c r="D313" s="453" t="str">
        <f t="shared" si="15"/>
        <v>Land &amp; Region</v>
      </c>
      <c r="E313" s="454" t="s">
        <v>1854</v>
      </c>
      <c r="F313" s="454" t="s">
        <v>1855</v>
      </c>
      <c r="G313" s="460" t="s">
        <v>1856</v>
      </c>
      <c r="H313" s="454" t="s">
        <v>1857</v>
      </c>
      <c r="I313" s="454" t="str">
        <f t="shared" si="12"/>
        <v>[fr]Land &amp; Region</v>
      </c>
      <c r="J313" s="454" t="str">
        <f t="shared" si="13"/>
        <v>[pt]Land &amp; Region</v>
      </c>
      <c r="K313" s="454" t="str">
        <f t="shared" si="14"/>
        <v>[gr]Land &amp; Region</v>
      </c>
    </row>
    <row r="314" spans="4:11" ht="15.75" customHeight="1">
      <c r="D314" s="453" t="str">
        <f t="shared" si="15"/>
        <v xml:space="preserve">Anteil in % </v>
      </c>
      <c r="E314" s="454" t="s">
        <v>1858</v>
      </c>
      <c r="F314" s="454" t="s">
        <v>1859</v>
      </c>
      <c r="G314" s="460" t="s">
        <v>1860</v>
      </c>
      <c r="H314" s="454" t="s">
        <v>1861</v>
      </c>
      <c r="I314" s="454" t="str">
        <f t="shared" si="12"/>
        <v xml:space="preserve">[fr]Anteil in % </v>
      </c>
      <c r="J314" s="454" t="str">
        <f t="shared" si="13"/>
        <v xml:space="preserve">[pt]Anteil in % </v>
      </c>
      <c r="K314" s="454" t="str">
        <f t="shared" si="14"/>
        <v xml:space="preserve">[gr]Anteil in % </v>
      </c>
    </row>
    <row r="315" spans="4:11" ht="28.5" customHeight="1">
      <c r="D315" s="453" t="str">
        <f t="shared" si="15"/>
        <v>Durchschnittlicher Arbeitsweg der Mitarbeitenden (in km):</v>
      </c>
      <c r="E315" s="454" t="s">
        <v>1862</v>
      </c>
      <c r="F315" s="454" t="s">
        <v>1863</v>
      </c>
      <c r="G315" s="460" t="s">
        <v>1864</v>
      </c>
      <c r="H315" s="454" t="s">
        <v>1865</v>
      </c>
      <c r="I315" s="454" t="str">
        <f t="shared" si="12"/>
        <v>[fr]Durchschnittlicher Arbeitsweg der Mitarbeitenden (in km):</v>
      </c>
      <c r="J315" s="454" t="str">
        <f t="shared" si="13"/>
        <v>[pt]Durchschnittlicher Arbeitsweg der Mitarbeitenden (in km):</v>
      </c>
      <c r="K315" s="454" t="str">
        <f t="shared" si="14"/>
        <v>[gr]Durchschnittlicher Arbeitsweg der Mitarbeitenden (in km):</v>
      </c>
    </row>
    <row r="316" spans="4:11" ht="29.25" customHeight="1">
      <c r="D316" s="453" t="str">
        <f t="shared" si="15"/>
        <v>Gibt es eine Kantine für die Mehrheit der Mitarbeitenden?</v>
      </c>
      <c r="E316" s="454" t="s">
        <v>1866</v>
      </c>
      <c r="F316" s="454" t="s">
        <v>1867</v>
      </c>
      <c r="G316" s="460" t="s">
        <v>1868</v>
      </c>
      <c r="H316" s="454" t="s">
        <v>1869</v>
      </c>
      <c r="I316" s="454" t="str">
        <f t="shared" si="12"/>
        <v>[fr]Gibt es eine Kantine für die Mehrheit der Mitarbeitenden?</v>
      </c>
      <c r="J316" s="454" t="str">
        <f t="shared" si="13"/>
        <v>[pt]Gibt es eine Kantine für die Mehrheit der Mitarbeitenden?</v>
      </c>
      <c r="K316" s="454" t="str">
        <f t="shared" si="14"/>
        <v>[gr]Gibt es eine Kantine für die Mehrheit der Mitarbeitenden?</v>
      </c>
    </row>
    <row r="317" spans="4:11" ht="15.75" customHeight="1">
      <c r="D317" s="453" t="str">
        <f t="shared" si="15"/>
        <v>Umsatz (in Euro)</v>
      </c>
      <c r="E317" s="454" t="s">
        <v>1870</v>
      </c>
      <c r="F317" s="454" t="s">
        <v>1871</v>
      </c>
      <c r="G317" s="460" t="s">
        <v>1872</v>
      </c>
      <c r="H317" s="454" t="s">
        <v>1873</v>
      </c>
      <c r="I317" s="454" t="str">
        <f t="shared" si="12"/>
        <v>[fr]Umsatz (in Euro)</v>
      </c>
      <c r="J317" s="454" t="str">
        <f t="shared" si="13"/>
        <v>[pt]Umsatz (in Euro)</v>
      </c>
      <c r="K317" s="454" t="str">
        <f t="shared" si="14"/>
        <v>[gr]Umsatz (in Euro)</v>
      </c>
    </row>
    <row r="318" spans="4:11" ht="28.5" customHeight="1">
      <c r="D318" s="453" t="str">
        <f t="shared" si="15"/>
        <v>Haben Sie nahezu ausschließlich Unternehmen als Kunden</v>
      </c>
      <c r="E318" s="454" t="s">
        <v>1874</v>
      </c>
      <c r="F318" s="454" t="s">
        <v>1875</v>
      </c>
      <c r="G318" s="460" t="s">
        <v>1876</v>
      </c>
      <c r="H318" s="454" t="s">
        <v>1877</v>
      </c>
      <c r="I318" s="454" t="str">
        <f t="shared" si="12"/>
        <v>[fr]Haben Sie nahezu ausschließlich Unternehmen als Kunden</v>
      </c>
      <c r="J318" s="454" t="str">
        <f t="shared" si="13"/>
        <v>[pt]Haben Sie nahezu ausschließlich Unternehmen als Kunden</v>
      </c>
      <c r="K318" s="454" t="str">
        <f t="shared" si="14"/>
        <v>[gr]Haben Sie nahezu ausschließlich Unternehmen als Kunden</v>
      </c>
    </row>
    <row r="319" spans="4:11" ht="41.85" customHeight="1">
      <c r="D319" s="453" t="str">
        <f t="shared" si="15"/>
        <v>Tragen Sie nachstehend, bitte die 3 wichtigsten Branchen ein, in denen Ihr Unternehmen tätig ist, inklusive ungefährem Umsatzanteil</v>
      </c>
      <c r="E319" s="454" t="s">
        <v>1878</v>
      </c>
      <c r="F319" s="454" t="s">
        <v>1879</v>
      </c>
      <c r="G319" s="460" t="s">
        <v>1880</v>
      </c>
      <c r="H319" s="454" t="s">
        <v>1881</v>
      </c>
      <c r="I319" s="454" t="str">
        <f t="shared" si="12"/>
        <v>[fr]Tragen Sie nachstehend, bitte die 3 wichtigsten Branchen ein, in denen Ihr Unternehmen tätig ist, inklusive ungefährem Umsatzanteil</v>
      </c>
      <c r="J319" s="454" t="str">
        <f t="shared" si="13"/>
        <v>[pt]Tragen Sie nachstehend, bitte die 3 wichtigsten Branchen ein, in denen Ihr Unternehmen tätig ist, inklusive ungefährem Umsatzanteil</v>
      </c>
      <c r="K319" s="454" t="str">
        <f t="shared" si="14"/>
        <v>[gr]Tragen Sie nachstehend, bitte die 3 wichtigsten Branchen ein, in denen Ihr Unternehmen tätig ist, inklusive ungefährem Umsatzanteil</v>
      </c>
    </row>
    <row r="320" spans="4:11" ht="15.75" customHeight="1">
      <c r="D320" s="453" t="str">
        <f t="shared" si="15"/>
        <v>Branche</v>
      </c>
      <c r="E320" s="454" t="s">
        <v>1799</v>
      </c>
      <c r="F320" s="454" t="s">
        <v>1800</v>
      </c>
      <c r="G320" s="460" t="s">
        <v>1801</v>
      </c>
      <c r="H320" s="454" t="s">
        <v>1802</v>
      </c>
      <c r="I320" s="454" t="str">
        <f t="shared" si="12"/>
        <v>[fr]Branche</v>
      </c>
      <c r="J320" s="454" t="str">
        <f t="shared" si="13"/>
        <v>[pt]Branche</v>
      </c>
      <c r="K320" s="454" t="str">
        <f t="shared" si="14"/>
        <v>[gr]Branche</v>
      </c>
    </row>
    <row r="321" spans="4:11" ht="15.75" customHeight="1">
      <c r="D321" s="453" t="str">
        <f t="shared" si="15"/>
        <v>Beschreibung</v>
      </c>
      <c r="E321" s="454" t="s">
        <v>1803</v>
      </c>
      <c r="F321" s="454" t="s">
        <v>1882</v>
      </c>
      <c r="G321" s="460" t="s">
        <v>1804</v>
      </c>
      <c r="H321" s="454" t="s">
        <v>1805</v>
      </c>
      <c r="I321" s="454" t="str">
        <f t="shared" si="12"/>
        <v>[fr]Beschreibung</v>
      </c>
      <c r="J321" s="454" t="str">
        <f t="shared" si="13"/>
        <v>[pt]Beschreibung</v>
      </c>
      <c r="K321" s="454" t="str">
        <f t="shared" si="14"/>
        <v>[gr]Beschreibung</v>
      </c>
    </row>
    <row r="322" spans="4:11" ht="15.75" customHeight="1">
      <c r="D322" s="453" t="str">
        <f t="shared" si="15"/>
        <v>% Anteil am Gesamtumsatz</v>
      </c>
      <c r="E322" s="454" t="s">
        <v>1883</v>
      </c>
      <c r="F322" s="454" t="s">
        <v>1884</v>
      </c>
      <c r="G322" s="460" t="s">
        <v>1885</v>
      </c>
      <c r="H322" s="454" t="s">
        <v>1886</v>
      </c>
      <c r="I322" s="454" t="str">
        <f t="shared" si="12"/>
        <v>[fr]% Anteil am Gesamtumsatz</v>
      </c>
      <c r="J322" s="454" t="str">
        <f t="shared" si="13"/>
        <v>[pt]% Anteil am Gesamtumsatz</v>
      </c>
      <c r="K322" s="454" t="str">
        <f t="shared" si="14"/>
        <v>[gr]% Anteil am Gesamtumsatz</v>
      </c>
    </row>
    <row r="323" spans="4:11" ht="15.75" customHeight="1">
      <c r="D323" s="453" t="str">
        <f t="shared" si="15"/>
        <v xml:space="preserve">Unternehmensgrösse </v>
      </c>
      <c r="E323" s="454" t="s">
        <v>1887</v>
      </c>
      <c r="F323" s="454" t="s">
        <v>1888</v>
      </c>
      <c r="G323" s="460" t="s">
        <v>1889</v>
      </c>
      <c r="H323" s="454" t="s">
        <v>1890</v>
      </c>
      <c r="I323" s="454" t="str">
        <f t="shared" si="12"/>
        <v xml:space="preserve">[fr]Unternehmensgrösse </v>
      </c>
      <c r="J323" s="454" t="str">
        <f t="shared" si="13"/>
        <v xml:space="preserve">[pt]Unternehmensgrösse </v>
      </c>
      <c r="K323" s="454" t="str">
        <f t="shared" si="14"/>
        <v xml:space="preserve">[gr]Unternehmensgrösse </v>
      </c>
    </row>
    <row r="324" spans="4:11" ht="15.75" customHeight="1">
      <c r="D324" s="453" t="str">
        <f t="shared" si="15"/>
        <v>Kleinstunternehmen</v>
      </c>
      <c r="E324" s="454" t="s">
        <v>1891</v>
      </c>
      <c r="F324" s="454" t="s">
        <v>1892</v>
      </c>
      <c r="G324" s="460" t="s">
        <v>1893</v>
      </c>
      <c r="H324" s="454" t="s">
        <v>1894</v>
      </c>
      <c r="I324" s="454" t="str">
        <f t="shared" si="12"/>
        <v>[fr]Kleinstunternehmen</v>
      </c>
      <c r="J324" s="454" t="str">
        <f t="shared" si="13"/>
        <v>[pt]Kleinstunternehmen</v>
      </c>
      <c r="K324" s="454" t="str">
        <f t="shared" si="14"/>
        <v>[gr]Kleinstunternehmen</v>
      </c>
    </row>
    <row r="325" spans="4:11" ht="15.75" customHeight="1">
      <c r="D325" s="453" t="str">
        <f t="shared" si="15"/>
        <v>Kleinunternehmen</v>
      </c>
      <c r="E325" s="454" t="s">
        <v>1895</v>
      </c>
      <c r="F325" s="454" t="s">
        <v>1896</v>
      </c>
      <c r="G325" s="460" t="s">
        <v>1897</v>
      </c>
      <c r="H325" s="454" t="s">
        <v>1898</v>
      </c>
      <c r="I325" s="454" t="str">
        <f t="shared" si="12"/>
        <v>[fr]Kleinunternehmen</v>
      </c>
      <c r="J325" s="454" t="str">
        <f t="shared" si="13"/>
        <v>[pt]Kleinunternehmen</v>
      </c>
      <c r="K325" s="454" t="str">
        <f t="shared" si="14"/>
        <v>[gr]Kleinunternehmen</v>
      </c>
    </row>
    <row r="326" spans="4:11" ht="15.75" customHeight="1">
      <c r="D326" s="453" t="str">
        <f t="shared" si="15"/>
        <v>Mittleres Unternehmen</v>
      </c>
      <c r="E326" s="454" t="s">
        <v>1899</v>
      </c>
      <c r="F326" s="454" t="s">
        <v>1900</v>
      </c>
      <c r="G326" s="460" t="s">
        <v>1901</v>
      </c>
      <c r="H326" s="454" t="s">
        <v>1902</v>
      </c>
      <c r="I326" s="454" t="str">
        <f t="shared" si="12"/>
        <v>[fr]Mittleres Unternehmen</v>
      </c>
      <c r="J326" s="454" t="str">
        <f t="shared" si="13"/>
        <v>[pt]Mittleres Unternehmen</v>
      </c>
      <c r="K326" s="454" t="str">
        <f t="shared" si="14"/>
        <v>[gr]Mittleres Unternehmen</v>
      </c>
    </row>
    <row r="327" spans="4:11" ht="15.75" customHeight="1">
      <c r="D327" s="453" t="str">
        <f t="shared" si="15"/>
        <v>Grossunternehmen</v>
      </c>
      <c r="E327" s="454" t="s">
        <v>1903</v>
      </c>
      <c r="F327" s="454" t="s">
        <v>1904</v>
      </c>
      <c r="G327" s="460" t="s">
        <v>1905</v>
      </c>
      <c r="H327" s="454" t="s">
        <v>1906</v>
      </c>
      <c r="I327" s="454" t="str">
        <f t="shared" si="12"/>
        <v>[fr]Grossunternehmen</v>
      </c>
      <c r="J327" s="454" t="str">
        <f t="shared" si="13"/>
        <v>[pt]Grossunternehmen</v>
      </c>
      <c r="K327" s="454" t="str">
        <f t="shared" si="14"/>
        <v>[gr]Grossunternehmen</v>
      </c>
    </row>
    <row r="328" spans="4:11" ht="28.5" customHeight="1">
      <c r="D328" s="453" t="str">
        <f t="shared" si="15"/>
        <v xml:space="preserve">In diesem Tabellenblatt wird die Gemeinwohlbilanz berechnet. </v>
      </c>
      <c r="E328" s="459" t="s">
        <v>1907</v>
      </c>
      <c r="F328" s="454" t="s">
        <v>1908</v>
      </c>
      <c r="G328" s="454" t="str">
        <f>"[en]"&amp;E328</f>
        <v xml:space="preserve">[en]In diesem Tabellenblatt wird die Gemeinwohlbilanz berechnet. </v>
      </c>
      <c r="H328" s="454" t="s">
        <v>1909</v>
      </c>
      <c r="I328" s="454" t="str">
        <f t="shared" si="12"/>
        <v xml:space="preserve">[fr]In diesem Tabellenblatt wird die Gemeinwohlbilanz berechnet. </v>
      </c>
      <c r="J328" s="454" t="str">
        <f t="shared" si="13"/>
        <v xml:space="preserve">[pt]In diesem Tabellenblatt wird die Gemeinwohlbilanz berechnet. </v>
      </c>
      <c r="K328" s="454" t="str">
        <f t="shared" si="14"/>
        <v xml:space="preserve">[gr]In diesem Tabellenblatt wird die Gemeinwohlbilanz berechnet. </v>
      </c>
    </row>
    <row r="329" spans="4:11" ht="28.5" customHeight="1">
      <c r="D329" s="453" t="str">
        <f t="shared" si="15"/>
        <v>Skalenwert eingeben: Wert muss im Bereich von 0 bis 10 liegen.</v>
      </c>
      <c r="E329" s="459" t="s">
        <v>1910</v>
      </c>
      <c r="F329" s="521" t="s">
        <v>1911</v>
      </c>
      <c r="G329" s="470" t="s">
        <v>3195</v>
      </c>
      <c r="H329" s="454" t="s">
        <v>1912</v>
      </c>
      <c r="I329" s="454" t="str">
        <f t="shared" si="12"/>
        <v>[fr]Skalenwert eingeben: Wert muss im Bereich von 0 bis 10 liegen.</v>
      </c>
      <c r="J329" s="454" t="str">
        <f t="shared" si="13"/>
        <v>[pt]Skalenwert eingeben: Wert muss im Bereich von 0 bis 10 liegen.</v>
      </c>
      <c r="K329" s="454" t="str">
        <f t="shared" si="14"/>
        <v>[gr]Skalenwert eingeben: Wert muss im Bereich von 0 bis 10 liegen.</v>
      </c>
    </row>
    <row r="330" spans="4:11" ht="28.5" customHeight="1">
      <c r="D330" s="453" t="str">
        <f t="shared" si="15"/>
        <v>Negativpunkte eingeben: Werte müssen im Bereich von -200 bis 0 liegen.</v>
      </c>
      <c r="E330" s="459" t="s">
        <v>1913</v>
      </c>
      <c r="F330" s="521" t="s">
        <v>1914</v>
      </c>
      <c r="G330" s="470" t="s">
        <v>3196</v>
      </c>
      <c r="H330" s="454" t="s">
        <v>1915</v>
      </c>
      <c r="I330" s="454" t="str">
        <f t="shared" si="12"/>
        <v>[fr]Negativpunkte eingeben: Werte müssen im Bereich von -200 bis 0 liegen.</v>
      </c>
      <c r="J330" s="454" t="str">
        <f t="shared" si="13"/>
        <v>[pt]Negativpunkte eingeben: Werte müssen im Bereich von -200 bis 0 liegen.</v>
      </c>
      <c r="K330" s="454" t="str">
        <f t="shared" si="14"/>
        <v>[gr]Negativpunkte eingeben: Werte müssen im Bereich von -200 bis 0 liegen.</v>
      </c>
    </row>
    <row r="331" spans="4:11" ht="15.75" customHeight="1">
      <c r="D331" s="453" t="str">
        <f t="shared" si="15"/>
        <v>globaler Durchschnitt</v>
      </c>
      <c r="E331" s="522" t="s">
        <v>1916</v>
      </c>
      <c r="F331" s="454" t="s">
        <v>1917</v>
      </c>
      <c r="G331" s="460" t="str">
        <f>"[en]"&amp;E331</f>
        <v>[en]globaler Durchschnitt</v>
      </c>
      <c r="H331" s="454" t="s">
        <v>1918</v>
      </c>
      <c r="I331" s="454" t="str">
        <f t="shared" si="12"/>
        <v>[fr]globaler Durchschnitt</v>
      </c>
      <c r="J331" s="454" t="str">
        <f t="shared" si="13"/>
        <v>[pt]globaler Durchschnitt</v>
      </c>
      <c r="K331" s="454" t="str">
        <f t="shared" si="14"/>
        <v>[gr]globaler Durchschnitt</v>
      </c>
    </row>
    <row r="332" spans="4:11" ht="15.75" customHeight="1">
      <c r="D332" s="453" t="str">
        <f t="shared" si="15"/>
        <v>Bitte auswählen</v>
      </c>
      <c r="E332" s="522" t="s">
        <v>1919</v>
      </c>
      <c r="F332" s="454" t="s">
        <v>1471</v>
      </c>
      <c r="G332" s="460" t="s">
        <v>1472</v>
      </c>
      <c r="H332" s="454" t="s">
        <v>1920</v>
      </c>
      <c r="I332" s="454" t="str">
        <f t="shared" si="12"/>
        <v>[fr]Bitte auswählen</v>
      </c>
      <c r="J332" s="454" t="str">
        <f t="shared" si="13"/>
        <v>[pt]Bitte auswählen</v>
      </c>
      <c r="K332" s="454" t="str">
        <f t="shared" si="14"/>
        <v>[gr]Bitte auswählen</v>
      </c>
    </row>
    <row r="333" spans="4:11" ht="16.350000000000001" customHeight="1">
      <c r="D333" s="453" t="str">
        <f t="shared" si="15"/>
        <v>Afrika</v>
      </c>
      <c r="E333" s="522" t="s">
        <v>1921</v>
      </c>
      <c r="F333" s="454" t="s">
        <v>251</v>
      </c>
      <c r="G333" s="460" t="str">
        <f t="shared" ref="G333:G338" si="16">"[en]"&amp;E333</f>
        <v>[en]Afrika</v>
      </c>
      <c r="H333" s="454" t="s">
        <v>1922</v>
      </c>
      <c r="I333" s="454" t="str">
        <f t="shared" si="12"/>
        <v>[fr]Afrika</v>
      </c>
      <c r="J333" s="454" t="str">
        <f t="shared" si="13"/>
        <v>[pt]Afrika</v>
      </c>
      <c r="K333" s="454" t="str">
        <f t="shared" si="14"/>
        <v>[gr]Afrika</v>
      </c>
    </row>
    <row r="334" spans="4:11" ht="16.350000000000001" customHeight="1">
      <c r="D334" s="453" t="str">
        <f t="shared" si="15"/>
        <v>Nord-Afrika und Mittlere Osten</v>
      </c>
      <c r="E334" s="522" t="s">
        <v>1923</v>
      </c>
      <c r="F334" s="454" t="s">
        <v>1924</v>
      </c>
      <c r="G334" s="460" t="str">
        <f t="shared" si="16"/>
        <v>[en]Nord-Afrika und Mittlere Osten</v>
      </c>
      <c r="H334" s="454" t="s">
        <v>1925</v>
      </c>
      <c r="I334" s="454" t="str">
        <f t="shared" si="12"/>
        <v>[fr]Nord-Afrika und Mittlere Osten</v>
      </c>
      <c r="J334" s="454" t="str">
        <f t="shared" si="13"/>
        <v>[pt]Nord-Afrika und Mittlere Osten</v>
      </c>
      <c r="K334" s="454" t="str">
        <f t="shared" si="14"/>
        <v>[gr]Nord-Afrika und Mittlere Osten</v>
      </c>
    </row>
    <row r="335" spans="4:11" ht="16.350000000000001" customHeight="1">
      <c r="D335" s="453" t="str">
        <f t="shared" si="15"/>
        <v>Latein-Amerika</v>
      </c>
      <c r="E335" s="522" t="s">
        <v>1926</v>
      </c>
      <c r="F335" s="454" t="s">
        <v>1927</v>
      </c>
      <c r="G335" s="460" t="str">
        <f t="shared" si="16"/>
        <v>[en]Latein-Amerika</v>
      </c>
      <c r="H335" s="454" t="s">
        <v>1928</v>
      </c>
      <c r="I335" s="454" t="str">
        <f t="shared" si="12"/>
        <v>[fr]Latein-Amerika</v>
      </c>
      <c r="J335" s="454" t="str">
        <f t="shared" si="13"/>
        <v>[pt]Latein-Amerika</v>
      </c>
      <c r="K335" s="454" t="str">
        <f t="shared" si="14"/>
        <v>[gr]Latein-Amerika</v>
      </c>
    </row>
    <row r="336" spans="4:11" ht="16.350000000000001" customHeight="1">
      <c r="D336" s="453" t="str">
        <f t="shared" si="15"/>
        <v>Nord-Amerika &amp; Ozeanien</v>
      </c>
      <c r="E336" s="522" t="s">
        <v>1929</v>
      </c>
      <c r="F336" s="454" t="s">
        <v>1930</v>
      </c>
      <c r="G336" s="460" t="str">
        <f t="shared" si="16"/>
        <v>[en]Nord-Amerika &amp; Ozeanien</v>
      </c>
      <c r="H336" s="454" t="s">
        <v>1931</v>
      </c>
      <c r="I336" s="454" t="str">
        <f t="shared" si="12"/>
        <v>[fr]Nord-Amerika &amp; Ozeanien</v>
      </c>
      <c r="J336" s="454" t="str">
        <f t="shared" si="13"/>
        <v>[pt]Nord-Amerika &amp; Ozeanien</v>
      </c>
      <c r="K336" s="454" t="str">
        <f t="shared" si="14"/>
        <v>[gr]Nord-Amerika &amp; Ozeanien</v>
      </c>
    </row>
    <row r="337" spans="1:13" ht="16.350000000000001" customHeight="1">
      <c r="D337" s="453" t="str">
        <f t="shared" si="15"/>
        <v>Asien</v>
      </c>
      <c r="E337" s="522" t="s">
        <v>1932</v>
      </c>
      <c r="F337" s="454" t="s">
        <v>248</v>
      </c>
      <c r="G337" s="460" t="str">
        <f t="shared" si="16"/>
        <v>[en]Asien</v>
      </c>
      <c r="H337" s="454" t="s">
        <v>248</v>
      </c>
      <c r="I337" s="454" t="str">
        <f t="shared" si="12"/>
        <v>[fr]Asien</v>
      </c>
      <c r="J337" s="454" t="str">
        <f t="shared" si="13"/>
        <v>[pt]Asien</v>
      </c>
      <c r="K337" s="454" t="str">
        <f t="shared" si="14"/>
        <v>[gr]Asien</v>
      </c>
    </row>
    <row r="338" spans="1:13" ht="15.75" customHeight="1">
      <c r="D338" s="453" t="str">
        <f t="shared" si="15"/>
        <v>Europa</v>
      </c>
      <c r="E338" s="522" t="s">
        <v>1933</v>
      </c>
      <c r="F338" s="454" t="s">
        <v>1933</v>
      </c>
      <c r="G338" s="460" t="str">
        <f t="shared" si="16"/>
        <v>[en]Europa</v>
      </c>
      <c r="H338" s="454" t="s">
        <v>1933</v>
      </c>
      <c r="I338" s="454" t="str">
        <f t="shared" si="12"/>
        <v>[fr]Europa</v>
      </c>
      <c r="J338" s="454" t="str">
        <f t="shared" si="13"/>
        <v>[pt]Europa</v>
      </c>
      <c r="K338" s="454" t="str">
        <f t="shared" si="14"/>
        <v>[gr]Europa</v>
      </c>
    </row>
    <row r="339" spans="1:13" ht="15.75" customHeight="1">
      <c r="A339" s="523" t="s">
        <v>246</v>
      </c>
      <c r="B339" s="474" t="s">
        <v>1934</v>
      </c>
      <c r="C339" s="523" t="s">
        <v>1935</v>
      </c>
      <c r="D339" s="453" t="str">
        <f t="shared" ref="D339:D554" si="17">A339&amp;" "&amp;HLOOKUP($C$1,$E$1:$X$4910,ROW(D339))</f>
        <v>ABW Aruba</v>
      </c>
      <c r="E339" s="524" t="s">
        <v>243</v>
      </c>
      <c r="F339" s="454" t="s">
        <v>1936</v>
      </c>
      <c r="G339" s="460" t="s">
        <v>1936</v>
      </c>
      <c r="H339" s="454" t="s">
        <v>243</v>
      </c>
      <c r="I339" s="454" t="s">
        <v>243</v>
      </c>
      <c r="J339" s="454" t="str">
        <f t="shared" si="13"/>
        <v>[pt]Aruba</v>
      </c>
      <c r="K339" s="454" t="str">
        <f t="shared" si="14"/>
        <v>[gr]Aruba</v>
      </c>
      <c r="L339" s="525" t="s">
        <v>246</v>
      </c>
      <c r="M339" s="455" t="str">
        <f t="shared" ref="M339:M561" si="18">IF(L339=A339,"","nix")</f>
        <v/>
      </c>
    </row>
    <row r="340" spans="1:13" ht="15.75" customHeight="1">
      <c r="A340" s="523" t="s">
        <v>249</v>
      </c>
      <c r="B340" s="474" t="s">
        <v>1937</v>
      </c>
      <c r="C340" s="523" t="s">
        <v>1938</v>
      </c>
      <c r="D340" s="453" t="str">
        <f t="shared" si="17"/>
        <v>AFG Afghanistan</v>
      </c>
      <c r="E340" s="524" t="s">
        <v>247</v>
      </c>
      <c r="F340" s="454" t="s">
        <v>1939</v>
      </c>
      <c r="G340" s="460" t="s">
        <v>1939</v>
      </c>
      <c r="H340" s="454" t="s">
        <v>1940</v>
      </c>
      <c r="I340" s="454" t="s">
        <v>247</v>
      </c>
      <c r="J340" s="454" t="str">
        <f t="shared" si="13"/>
        <v>[pt]Afghanistan</v>
      </c>
      <c r="K340" s="454" t="str">
        <f t="shared" si="14"/>
        <v>[gr]Afghanistan</v>
      </c>
      <c r="L340" s="525" t="s">
        <v>249</v>
      </c>
      <c r="M340" s="455" t="str">
        <f t="shared" si="18"/>
        <v/>
      </c>
    </row>
    <row r="341" spans="1:13" ht="15.75" customHeight="1">
      <c r="A341" s="523" t="s">
        <v>252</v>
      </c>
      <c r="B341" s="474" t="s">
        <v>1941</v>
      </c>
      <c r="C341" s="523" t="s">
        <v>1942</v>
      </c>
      <c r="D341" s="453" t="str">
        <f t="shared" si="17"/>
        <v>AGO Angola</v>
      </c>
      <c r="E341" s="524" t="s">
        <v>250</v>
      </c>
      <c r="F341" s="454" t="s">
        <v>1943</v>
      </c>
      <c r="G341" s="460" t="s">
        <v>1943</v>
      </c>
      <c r="H341" s="454" t="s">
        <v>250</v>
      </c>
      <c r="I341" s="454" t="s">
        <v>250</v>
      </c>
      <c r="J341" s="454" t="str">
        <f t="shared" si="13"/>
        <v>[pt]Angola</v>
      </c>
      <c r="K341" s="454" t="str">
        <f t="shared" si="14"/>
        <v>[gr]Angola</v>
      </c>
      <c r="L341" s="525" t="s">
        <v>252</v>
      </c>
      <c r="M341" s="455" t="str">
        <f t="shared" si="18"/>
        <v/>
      </c>
    </row>
    <row r="342" spans="1:13" ht="15.75" customHeight="1">
      <c r="A342" s="523" t="s">
        <v>255</v>
      </c>
      <c r="B342" s="474" t="s">
        <v>1944</v>
      </c>
      <c r="C342" s="523" t="s">
        <v>1945</v>
      </c>
      <c r="D342" s="453" t="str">
        <f t="shared" si="17"/>
        <v>ALB Albanien</v>
      </c>
      <c r="E342" s="524" t="s">
        <v>1946</v>
      </c>
      <c r="F342" s="454" t="s">
        <v>1947</v>
      </c>
      <c r="G342" s="460" t="s">
        <v>1947</v>
      </c>
      <c r="H342" s="454" t="s">
        <v>253</v>
      </c>
      <c r="I342" s="454" t="s">
        <v>1948</v>
      </c>
      <c r="J342" s="454" t="str">
        <f t="shared" si="13"/>
        <v>[pt]Albanien</v>
      </c>
      <c r="K342" s="454" t="str">
        <f t="shared" si="14"/>
        <v>[gr]Albanien</v>
      </c>
      <c r="L342" s="525" t="s">
        <v>255</v>
      </c>
      <c r="M342" s="455" t="str">
        <f t="shared" si="18"/>
        <v/>
      </c>
    </row>
    <row r="343" spans="1:13" ht="15.75" customHeight="1">
      <c r="A343" s="523" t="s">
        <v>257</v>
      </c>
      <c r="B343" s="474" t="s">
        <v>1949</v>
      </c>
      <c r="C343" s="523" t="s">
        <v>1950</v>
      </c>
      <c r="D343" s="453" t="str">
        <f t="shared" si="17"/>
        <v>AND Andorra</v>
      </c>
      <c r="E343" s="524" t="s">
        <v>256</v>
      </c>
      <c r="F343" s="454" t="s">
        <v>1951</v>
      </c>
      <c r="G343" s="460" t="s">
        <v>1951</v>
      </c>
      <c r="H343" s="454" t="s">
        <v>256</v>
      </c>
      <c r="I343" s="454" t="s">
        <v>1952</v>
      </c>
      <c r="J343" s="454" t="str">
        <f t="shared" si="13"/>
        <v>[pt]Andorra</v>
      </c>
      <c r="K343" s="454" t="str">
        <f t="shared" si="14"/>
        <v>[gr]Andorra</v>
      </c>
      <c r="L343" s="525" t="s">
        <v>257</v>
      </c>
      <c r="M343" s="455" t="str">
        <f t="shared" si="18"/>
        <v/>
      </c>
    </row>
    <row r="344" spans="1:13" ht="15.75" customHeight="1">
      <c r="A344" s="523" t="s">
        <v>259</v>
      </c>
      <c r="B344" s="474" t="s">
        <v>1953</v>
      </c>
      <c r="C344" s="523" t="s">
        <v>1954</v>
      </c>
      <c r="D344" s="453" t="str">
        <f t="shared" si="17"/>
        <v>ARE Vereinigte Arabische Emirate</v>
      </c>
      <c r="E344" s="524" t="s">
        <v>1955</v>
      </c>
      <c r="F344" s="454" t="s">
        <v>1956</v>
      </c>
      <c r="G344" s="460" t="s">
        <v>1957</v>
      </c>
      <c r="H344" s="454" t="s">
        <v>1958</v>
      </c>
      <c r="I344" s="454" t="s">
        <v>1959</v>
      </c>
      <c r="J344" s="454" t="str">
        <f t="shared" si="13"/>
        <v>[pt]Vereinigte Arabische Emirate</v>
      </c>
      <c r="K344" s="454" t="str">
        <f t="shared" si="14"/>
        <v>[gr]Vereinigte Arabische Emirate</v>
      </c>
      <c r="L344" s="525" t="s">
        <v>259</v>
      </c>
      <c r="M344" s="455" t="str">
        <f t="shared" si="18"/>
        <v/>
      </c>
    </row>
    <row r="345" spans="1:13" ht="15.75" customHeight="1">
      <c r="A345" s="523" t="s">
        <v>261</v>
      </c>
      <c r="B345" s="474" t="s">
        <v>1960</v>
      </c>
      <c r="C345" s="523" t="s">
        <v>1961</v>
      </c>
      <c r="D345" s="453" t="str">
        <f t="shared" si="17"/>
        <v>ARG Argentinien</v>
      </c>
      <c r="E345" s="524" t="s">
        <v>1962</v>
      </c>
      <c r="F345" s="454" t="s">
        <v>1963</v>
      </c>
      <c r="G345" s="460" t="s">
        <v>1963</v>
      </c>
      <c r="H345" s="454" t="s">
        <v>260</v>
      </c>
      <c r="I345" s="454" t="s">
        <v>1964</v>
      </c>
      <c r="J345" s="454" t="str">
        <f t="shared" si="13"/>
        <v>[pt]Argentinien</v>
      </c>
      <c r="K345" s="454" t="str">
        <f t="shared" si="14"/>
        <v>[gr]Argentinien</v>
      </c>
      <c r="L345" s="525" t="s">
        <v>261</v>
      </c>
      <c r="M345" s="455" t="str">
        <f t="shared" si="18"/>
        <v/>
      </c>
    </row>
    <row r="346" spans="1:13" ht="15.75" customHeight="1">
      <c r="A346" s="523" t="s">
        <v>263</v>
      </c>
      <c r="B346" s="474" t="s">
        <v>1965</v>
      </c>
      <c r="C346" s="523" t="s">
        <v>1966</v>
      </c>
      <c r="D346" s="453" t="str">
        <f t="shared" si="17"/>
        <v>ARM Armenien</v>
      </c>
      <c r="E346" s="524" t="s">
        <v>1967</v>
      </c>
      <c r="F346" s="454" t="s">
        <v>1968</v>
      </c>
      <c r="G346" s="460" t="s">
        <v>1968</v>
      </c>
      <c r="H346" s="454" t="s">
        <v>262</v>
      </c>
      <c r="I346" s="454" t="s">
        <v>1969</v>
      </c>
      <c r="J346" s="454" t="str">
        <f t="shared" si="13"/>
        <v>[pt]Armenien</v>
      </c>
      <c r="K346" s="454" t="str">
        <f t="shared" si="14"/>
        <v>[gr]Armenien</v>
      </c>
      <c r="L346" s="525" t="s">
        <v>263</v>
      </c>
      <c r="M346" s="455" t="str">
        <f t="shared" si="18"/>
        <v/>
      </c>
    </row>
    <row r="347" spans="1:13" ht="15.75" customHeight="1">
      <c r="A347" s="523" t="s">
        <v>266</v>
      </c>
      <c r="B347" s="474" t="s">
        <v>1970</v>
      </c>
      <c r="C347" s="523" t="s">
        <v>1971</v>
      </c>
      <c r="D347" s="453" t="str">
        <f t="shared" si="17"/>
        <v>ASM Amerikanisch-Samoa</v>
      </c>
      <c r="E347" s="524" t="s">
        <v>1972</v>
      </c>
      <c r="F347" s="454" t="s">
        <v>1973</v>
      </c>
      <c r="G347" s="460" t="s">
        <v>1974</v>
      </c>
      <c r="H347" s="454" t="s">
        <v>1975</v>
      </c>
      <c r="I347" s="454" t="s">
        <v>1976</v>
      </c>
      <c r="J347" s="454" t="str">
        <f t="shared" si="13"/>
        <v>[pt]Amerikanisch-Samoa</v>
      </c>
      <c r="K347" s="454" t="str">
        <f t="shared" si="14"/>
        <v>[gr]Amerikanisch-Samoa</v>
      </c>
      <c r="L347" s="525" t="s">
        <v>266</v>
      </c>
      <c r="M347" s="455" t="str">
        <f t="shared" si="18"/>
        <v/>
      </c>
    </row>
    <row r="348" spans="1:13" ht="15.75" customHeight="1">
      <c r="A348" s="523" t="s">
        <v>268</v>
      </c>
      <c r="B348" s="474" t="s">
        <v>1977</v>
      </c>
      <c r="C348" s="523" t="s">
        <v>1978</v>
      </c>
      <c r="D348" s="453" t="str">
        <f t="shared" si="17"/>
        <v>ATG Antigua und Barbuda</v>
      </c>
      <c r="E348" s="524" t="s">
        <v>1979</v>
      </c>
      <c r="F348" s="454" t="s">
        <v>1980</v>
      </c>
      <c r="G348" s="460" t="s">
        <v>1981</v>
      </c>
      <c r="H348" s="454" t="s">
        <v>1982</v>
      </c>
      <c r="I348" s="454" t="s">
        <v>1983</v>
      </c>
      <c r="J348" s="454" t="str">
        <f t="shared" si="13"/>
        <v>[pt]Antigua und Barbuda</v>
      </c>
      <c r="K348" s="454" t="str">
        <f t="shared" si="14"/>
        <v>[gr]Antigua und Barbuda</v>
      </c>
      <c r="L348" s="525" t="s">
        <v>268</v>
      </c>
      <c r="M348" s="455" t="str">
        <f t="shared" si="18"/>
        <v/>
      </c>
    </row>
    <row r="349" spans="1:13" ht="15.75" customHeight="1">
      <c r="A349" s="523" t="s">
        <v>270</v>
      </c>
      <c r="B349" s="474" t="s">
        <v>1984</v>
      </c>
      <c r="C349" s="523" t="s">
        <v>1985</v>
      </c>
      <c r="D349" s="453" t="str">
        <f t="shared" si="17"/>
        <v>AUS Australien</v>
      </c>
      <c r="E349" s="524" t="s">
        <v>1986</v>
      </c>
      <c r="F349" s="454" t="s">
        <v>1987</v>
      </c>
      <c r="G349" s="460" t="s">
        <v>1987</v>
      </c>
      <c r="H349" s="454" t="s">
        <v>269</v>
      </c>
      <c r="I349" s="454" t="s">
        <v>1988</v>
      </c>
      <c r="J349" s="454" t="str">
        <f t="shared" si="13"/>
        <v>[pt]Australien</v>
      </c>
      <c r="K349" s="454" t="str">
        <f t="shared" si="14"/>
        <v>[gr]Australien</v>
      </c>
      <c r="L349" s="525" t="s">
        <v>270</v>
      </c>
      <c r="M349" s="455" t="str">
        <f t="shared" si="18"/>
        <v/>
      </c>
    </row>
    <row r="350" spans="1:13" ht="15.75" customHeight="1">
      <c r="A350" s="523" t="s">
        <v>272</v>
      </c>
      <c r="B350" s="474" t="s">
        <v>1989</v>
      </c>
      <c r="C350" s="523" t="s">
        <v>1990</v>
      </c>
      <c r="D350" s="453" t="str">
        <f t="shared" si="17"/>
        <v>AUT Österreich</v>
      </c>
      <c r="E350" s="524" t="s">
        <v>1991</v>
      </c>
      <c r="F350" s="454" t="s">
        <v>1992</v>
      </c>
      <c r="G350" s="460" t="s">
        <v>1992</v>
      </c>
      <c r="H350" s="454" t="s">
        <v>271</v>
      </c>
      <c r="I350" s="454" t="s">
        <v>1993</v>
      </c>
      <c r="J350" s="454" t="str">
        <f t="shared" si="13"/>
        <v>[pt]Österreich</v>
      </c>
      <c r="K350" s="454" t="str">
        <f t="shared" si="14"/>
        <v>[gr]Österreich</v>
      </c>
      <c r="L350" s="525" t="s">
        <v>272</v>
      </c>
      <c r="M350" s="455" t="str">
        <f t="shared" si="18"/>
        <v/>
      </c>
    </row>
    <row r="351" spans="1:13" ht="15.75" customHeight="1">
      <c r="A351" s="523" t="s">
        <v>274</v>
      </c>
      <c r="B351" s="474" t="s">
        <v>1994</v>
      </c>
      <c r="C351" s="523" t="s">
        <v>1995</v>
      </c>
      <c r="D351" s="453" t="str">
        <f t="shared" si="17"/>
        <v>AZE Aserbaidschan</v>
      </c>
      <c r="E351" s="524" t="s">
        <v>1996</v>
      </c>
      <c r="F351" s="454" t="s">
        <v>1997</v>
      </c>
      <c r="G351" s="460" t="s">
        <v>1998</v>
      </c>
      <c r="H351" s="454" t="s">
        <v>1999</v>
      </c>
      <c r="I351" s="454" t="s">
        <v>2000</v>
      </c>
      <c r="J351" s="454" t="str">
        <f t="shared" si="13"/>
        <v>[pt]Aserbaidschan</v>
      </c>
      <c r="K351" s="454" t="str">
        <f t="shared" si="14"/>
        <v>[gr]Aserbaidschan</v>
      </c>
      <c r="L351" s="525" t="s">
        <v>274</v>
      </c>
      <c r="M351" s="455" t="str">
        <f t="shared" si="18"/>
        <v/>
      </c>
    </row>
    <row r="352" spans="1:13" ht="15.75" customHeight="1">
      <c r="A352" s="523" t="s">
        <v>276</v>
      </c>
      <c r="B352" s="474" t="s">
        <v>2001</v>
      </c>
      <c r="C352" s="523" t="s">
        <v>2002</v>
      </c>
      <c r="D352" s="453" t="str">
        <f t="shared" si="17"/>
        <v>BDI Burundi</v>
      </c>
      <c r="E352" s="524" t="s">
        <v>275</v>
      </c>
      <c r="F352" s="454" t="s">
        <v>2003</v>
      </c>
      <c r="G352" s="460" t="s">
        <v>2003</v>
      </c>
      <c r="H352" s="454" t="s">
        <v>275</v>
      </c>
      <c r="I352" s="454" t="s">
        <v>275</v>
      </c>
      <c r="J352" s="454" t="str">
        <f t="shared" si="13"/>
        <v>[pt]Burundi</v>
      </c>
      <c r="K352" s="454" t="str">
        <f t="shared" si="14"/>
        <v>[gr]Burundi</v>
      </c>
      <c r="L352" s="525" t="s">
        <v>276</v>
      </c>
      <c r="M352" s="455" t="str">
        <f t="shared" si="18"/>
        <v/>
      </c>
    </row>
    <row r="353" spans="1:13" ht="15.75" customHeight="1">
      <c r="A353" s="523" t="s">
        <v>278</v>
      </c>
      <c r="B353" s="474" t="s">
        <v>2004</v>
      </c>
      <c r="C353" s="523" t="s">
        <v>2005</v>
      </c>
      <c r="D353" s="453" t="str">
        <f t="shared" si="17"/>
        <v>BEL Belgien</v>
      </c>
      <c r="E353" s="524" t="s">
        <v>2006</v>
      </c>
      <c r="F353" s="454" t="s">
        <v>2007</v>
      </c>
      <c r="G353" s="460" t="s">
        <v>2008</v>
      </c>
      <c r="H353" s="454" t="s">
        <v>2009</v>
      </c>
      <c r="I353" s="454" t="s">
        <v>2010</v>
      </c>
      <c r="J353" s="454" t="str">
        <f t="shared" si="13"/>
        <v>[pt]Belgien</v>
      </c>
      <c r="K353" s="454" t="str">
        <f t="shared" si="14"/>
        <v>[gr]Belgien</v>
      </c>
      <c r="L353" s="525" t="s">
        <v>278</v>
      </c>
      <c r="M353" s="455" t="str">
        <f t="shared" si="18"/>
        <v/>
      </c>
    </row>
    <row r="354" spans="1:13" ht="15.75" customHeight="1">
      <c r="A354" s="523" t="s">
        <v>280</v>
      </c>
      <c r="B354" s="474" t="s">
        <v>2011</v>
      </c>
      <c r="C354" s="523" t="s">
        <v>2012</v>
      </c>
      <c r="D354" s="453" t="str">
        <f t="shared" si="17"/>
        <v>BEN Benin</v>
      </c>
      <c r="E354" s="524" t="s">
        <v>279</v>
      </c>
      <c r="F354" s="454" t="s">
        <v>2013</v>
      </c>
      <c r="G354" s="460" t="s">
        <v>2013</v>
      </c>
      <c r="H354" s="454" t="s">
        <v>2014</v>
      </c>
      <c r="I354" s="454" t="s">
        <v>2015</v>
      </c>
      <c r="J354" s="454" t="str">
        <f t="shared" si="13"/>
        <v>[pt]Benin</v>
      </c>
      <c r="K354" s="454" t="str">
        <f t="shared" si="14"/>
        <v>[gr]Benin</v>
      </c>
      <c r="L354" s="525" t="s">
        <v>280</v>
      </c>
      <c r="M354" s="455" t="str">
        <f t="shared" si="18"/>
        <v/>
      </c>
    </row>
    <row r="355" spans="1:13" ht="15.75" customHeight="1">
      <c r="A355" s="523" t="s">
        <v>282</v>
      </c>
      <c r="B355" s="474" t="s">
        <v>2016</v>
      </c>
      <c r="C355" s="523" t="s">
        <v>2017</v>
      </c>
      <c r="D355" s="453" t="str">
        <f t="shared" si="17"/>
        <v>BFA Burkina Faso</v>
      </c>
      <c r="E355" s="524" t="s">
        <v>281</v>
      </c>
      <c r="F355" s="454" t="s">
        <v>2018</v>
      </c>
      <c r="G355" s="460" t="s">
        <v>2018</v>
      </c>
      <c r="H355" s="454" t="s">
        <v>281</v>
      </c>
      <c r="I355" s="454" t="s">
        <v>281</v>
      </c>
      <c r="J355" s="454" t="str">
        <f t="shared" si="13"/>
        <v>[pt]Burkina Faso</v>
      </c>
      <c r="K355" s="454" t="str">
        <f t="shared" si="14"/>
        <v>[gr]Burkina Faso</v>
      </c>
      <c r="L355" s="525" t="s">
        <v>282</v>
      </c>
      <c r="M355" s="455" t="str">
        <f t="shared" si="18"/>
        <v/>
      </c>
    </row>
    <row r="356" spans="1:13" ht="15.75" customHeight="1">
      <c r="A356" s="523" t="s">
        <v>284</v>
      </c>
      <c r="B356" s="474" t="s">
        <v>2019</v>
      </c>
      <c r="C356" s="523" t="s">
        <v>2020</v>
      </c>
      <c r="D356" s="453" t="str">
        <f t="shared" si="17"/>
        <v>BGD Bangladesch</v>
      </c>
      <c r="E356" s="524" t="s">
        <v>2021</v>
      </c>
      <c r="F356" s="454" t="s">
        <v>2022</v>
      </c>
      <c r="G356" s="460" t="s">
        <v>2022</v>
      </c>
      <c r="H356" s="454" t="s">
        <v>2023</v>
      </c>
      <c r="I356" s="454" t="s">
        <v>283</v>
      </c>
      <c r="J356" s="454" t="str">
        <f t="shared" si="13"/>
        <v>[pt]Bangladesch</v>
      </c>
      <c r="K356" s="454" t="str">
        <f t="shared" si="14"/>
        <v>[gr]Bangladesch</v>
      </c>
      <c r="L356" s="525" t="s">
        <v>284</v>
      </c>
      <c r="M356" s="455" t="str">
        <f t="shared" si="18"/>
        <v/>
      </c>
    </row>
    <row r="357" spans="1:13" ht="15.75" customHeight="1">
      <c r="A357" s="523" t="s">
        <v>286</v>
      </c>
      <c r="B357" s="474" t="s">
        <v>2024</v>
      </c>
      <c r="C357" s="523" t="s">
        <v>2025</v>
      </c>
      <c r="D357" s="453" t="str">
        <f t="shared" si="17"/>
        <v>BGR Bulgarien</v>
      </c>
      <c r="E357" s="524" t="s">
        <v>2026</v>
      </c>
      <c r="F357" s="454" t="s">
        <v>2027</v>
      </c>
      <c r="G357" s="460" t="s">
        <v>2027</v>
      </c>
      <c r="H357" s="454" t="s">
        <v>285</v>
      </c>
      <c r="I357" s="454" t="s">
        <v>2028</v>
      </c>
      <c r="J357" s="454" t="str">
        <f t="shared" si="13"/>
        <v>[pt]Bulgarien</v>
      </c>
      <c r="K357" s="454" t="str">
        <f t="shared" si="14"/>
        <v>[gr]Bulgarien</v>
      </c>
      <c r="L357" s="525" t="s">
        <v>286</v>
      </c>
      <c r="M357" s="455" t="str">
        <f t="shared" si="18"/>
        <v/>
      </c>
    </row>
    <row r="358" spans="1:13" ht="15.75" customHeight="1">
      <c r="A358" s="523" t="s">
        <v>288</v>
      </c>
      <c r="B358" s="474" t="s">
        <v>2029</v>
      </c>
      <c r="C358" s="523" t="s">
        <v>2030</v>
      </c>
      <c r="D358" s="453" t="str">
        <f t="shared" si="17"/>
        <v>BHR Bahrain</v>
      </c>
      <c r="E358" s="524" t="s">
        <v>287</v>
      </c>
      <c r="F358" s="454" t="s">
        <v>2031</v>
      </c>
      <c r="G358" s="460" t="s">
        <v>2031</v>
      </c>
      <c r="H358" s="454" t="s">
        <v>2032</v>
      </c>
      <c r="I358" s="454" t="s">
        <v>2033</v>
      </c>
      <c r="J358" s="454" t="str">
        <f t="shared" si="13"/>
        <v>[pt]Bahrain</v>
      </c>
      <c r="K358" s="454" t="str">
        <f t="shared" si="14"/>
        <v>[gr]Bahrain</v>
      </c>
      <c r="L358" s="525" t="s">
        <v>288</v>
      </c>
      <c r="M358" s="455" t="str">
        <f t="shared" si="18"/>
        <v/>
      </c>
    </row>
    <row r="359" spans="1:13" ht="15.75" customHeight="1">
      <c r="A359" s="523" t="s">
        <v>290</v>
      </c>
      <c r="B359" s="474" t="s">
        <v>2034</v>
      </c>
      <c r="C359" s="523" t="s">
        <v>2035</v>
      </c>
      <c r="D359" s="453" t="str">
        <f t="shared" si="17"/>
        <v>BHS Bahamas</v>
      </c>
      <c r="E359" s="524" t="s">
        <v>2036</v>
      </c>
      <c r="F359" s="454" t="s">
        <v>2037</v>
      </c>
      <c r="G359" s="460" t="s">
        <v>2037</v>
      </c>
      <c r="H359" s="454" t="s">
        <v>2036</v>
      </c>
      <c r="I359" s="454" t="s">
        <v>2036</v>
      </c>
      <c r="J359" s="454" t="str">
        <f t="shared" si="13"/>
        <v>[pt]Bahamas</v>
      </c>
      <c r="K359" s="454" t="str">
        <f t="shared" si="14"/>
        <v>[gr]Bahamas</v>
      </c>
      <c r="L359" s="525" t="s">
        <v>290</v>
      </c>
      <c r="M359" s="455" t="str">
        <f t="shared" si="18"/>
        <v/>
      </c>
    </row>
    <row r="360" spans="1:13" ht="15.75" customHeight="1">
      <c r="A360" s="523" t="s">
        <v>292</v>
      </c>
      <c r="B360" s="474" t="s">
        <v>2038</v>
      </c>
      <c r="C360" s="523" t="s">
        <v>2039</v>
      </c>
      <c r="D360" s="453" t="str">
        <f t="shared" si="17"/>
        <v>BIH Bosnien und Herzegowina</v>
      </c>
      <c r="E360" s="524" t="s">
        <v>2040</v>
      </c>
      <c r="F360" s="454" t="s">
        <v>2041</v>
      </c>
      <c r="G360" s="460" t="s">
        <v>2042</v>
      </c>
      <c r="H360" s="454" t="s">
        <v>2043</v>
      </c>
      <c r="I360" s="454" t="s">
        <v>2044</v>
      </c>
      <c r="J360" s="454" t="str">
        <f t="shared" si="13"/>
        <v>[pt]Bosnien und Herzegowina</v>
      </c>
      <c r="K360" s="454" t="str">
        <f t="shared" si="14"/>
        <v>[gr]Bosnien und Herzegowina</v>
      </c>
      <c r="L360" s="525" t="s">
        <v>292</v>
      </c>
      <c r="M360" s="455" t="str">
        <f t="shared" si="18"/>
        <v/>
      </c>
    </row>
    <row r="361" spans="1:13" ht="15.75" customHeight="1">
      <c r="A361" s="523" t="s">
        <v>294</v>
      </c>
      <c r="B361" s="474" t="s">
        <v>2045</v>
      </c>
      <c r="C361" s="523" t="s">
        <v>2046</v>
      </c>
      <c r="D361" s="453" t="str">
        <f t="shared" si="17"/>
        <v>BLR Belarus</v>
      </c>
      <c r="E361" s="524" t="s">
        <v>293</v>
      </c>
      <c r="F361" s="454" t="s">
        <v>2047</v>
      </c>
      <c r="G361" s="460" t="s">
        <v>2048</v>
      </c>
      <c r="H361" s="454" t="s">
        <v>2049</v>
      </c>
      <c r="I361" s="454" t="s">
        <v>2050</v>
      </c>
      <c r="J361" s="454" t="str">
        <f t="shared" si="13"/>
        <v>[pt]Belarus</v>
      </c>
      <c r="K361" s="454" t="str">
        <f t="shared" si="14"/>
        <v>[gr]Belarus</v>
      </c>
      <c r="L361" s="525" t="s">
        <v>294</v>
      </c>
      <c r="M361" s="455" t="str">
        <f t="shared" si="18"/>
        <v/>
      </c>
    </row>
    <row r="362" spans="1:13" ht="15.75" customHeight="1">
      <c r="A362" s="523" t="s">
        <v>296</v>
      </c>
      <c r="B362" s="474" t="s">
        <v>2051</v>
      </c>
      <c r="C362" s="523" t="s">
        <v>2052</v>
      </c>
      <c r="D362" s="453" t="str">
        <f t="shared" si="17"/>
        <v>BLZ Belize</v>
      </c>
      <c r="E362" s="524" t="s">
        <v>295</v>
      </c>
      <c r="F362" s="454" t="s">
        <v>2053</v>
      </c>
      <c r="G362" s="460" t="s">
        <v>2053</v>
      </c>
      <c r="H362" s="454" t="s">
        <v>2054</v>
      </c>
      <c r="I362" s="454" t="s">
        <v>295</v>
      </c>
      <c r="J362" s="454" t="str">
        <f t="shared" si="13"/>
        <v>[pt]Belize</v>
      </c>
      <c r="K362" s="454" t="str">
        <f t="shared" si="14"/>
        <v>[gr]Belize</v>
      </c>
      <c r="L362" s="525" t="s">
        <v>296</v>
      </c>
      <c r="M362" s="455" t="str">
        <f t="shared" si="18"/>
        <v/>
      </c>
    </row>
    <row r="363" spans="1:13" ht="15.75" customHeight="1">
      <c r="A363" s="523" t="s">
        <v>298</v>
      </c>
      <c r="B363" s="474" t="s">
        <v>2055</v>
      </c>
      <c r="C363" s="523" t="s">
        <v>2056</v>
      </c>
      <c r="D363" s="453" t="str">
        <f t="shared" si="17"/>
        <v>BMU Bermuda</v>
      </c>
      <c r="E363" s="524" t="s">
        <v>297</v>
      </c>
      <c r="F363" s="454" t="s">
        <v>2057</v>
      </c>
      <c r="G363" s="460" t="s">
        <v>2057</v>
      </c>
      <c r="H363" s="454" t="s">
        <v>2058</v>
      </c>
      <c r="I363" s="454" t="s">
        <v>2059</v>
      </c>
      <c r="J363" s="454" t="str">
        <f t="shared" si="13"/>
        <v>[pt]Bermuda</v>
      </c>
      <c r="K363" s="454" t="str">
        <f t="shared" si="14"/>
        <v>[gr]Bermuda</v>
      </c>
      <c r="L363" s="525" t="s">
        <v>298</v>
      </c>
      <c r="M363" s="455" t="str">
        <f t="shared" si="18"/>
        <v/>
      </c>
    </row>
    <row r="364" spans="1:13" ht="15.75" customHeight="1">
      <c r="A364" s="523" t="s">
        <v>300</v>
      </c>
      <c r="B364" s="474" t="s">
        <v>2060</v>
      </c>
      <c r="C364" s="523" t="s">
        <v>2061</v>
      </c>
      <c r="D364" s="453" t="str">
        <f t="shared" si="17"/>
        <v>BOL Bolivien</v>
      </c>
      <c r="E364" s="524" t="s">
        <v>2062</v>
      </c>
      <c r="F364" s="454" t="s">
        <v>2063</v>
      </c>
      <c r="G364" s="460" t="s">
        <v>2064</v>
      </c>
      <c r="H364" s="454" t="s">
        <v>299</v>
      </c>
      <c r="I364" s="454" t="s">
        <v>2065</v>
      </c>
      <c r="J364" s="454" t="str">
        <f t="shared" si="13"/>
        <v>[pt]Bolivien</v>
      </c>
      <c r="K364" s="454" t="str">
        <f t="shared" si="14"/>
        <v>[gr]Bolivien</v>
      </c>
      <c r="L364" s="525" t="s">
        <v>300</v>
      </c>
      <c r="M364" s="455" t="str">
        <f t="shared" si="18"/>
        <v/>
      </c>
    </row>
    <row r="365" spans="1:13" ht="15.75" customHeight="1">
      <c r="A365" s="523" t="s">
        <v>302</v>
      </c>
      <c r="B365" s="474" t="s">
        <v>2066</v>
      </c>
      <c r="C365" s="523" t="s">
        <v>2067</v>
      </c>
      <c r="D365" s="453" t="str">
        <f t="shared" si="17"/>
        <v>BRA Brasilien</v>
      </c>
      <c r="E365" s="524" t="s">
        <v>2068</v>
      </c>
      <c r="F365" s="454" t="s">
        <v>2069</v>
      </c>
      <c r="G365" s="460" t="s">
        <v>2070</v>
      </c>
      <c r="H365" s="454" t="s">
        <v>2071</v>
      </c>
      <c r="I365" s="454" t="s">
        <v>2072</v>
      </c>
      <c r="J365" s="454" t="str">
        <f t="shared" si="13"/>
        <v>[pt]Brasilien</v>
      </c>
      <c r="K365" s="454" t="str">
        <f t="shared" si="14"/>
        <v>[gr]Brasilien</v>
      </c>
      <c r="L365" s="525" t="s">
        <v>302</v>
      </c>
      <c r="M365" s="455" t="str">
        <f t="shared" si="18"/>
        <v/>
      </c>
    </row>
    <row r="366" spans="1:13" ht="15.75" customHeight="1">
      <c r="A366" s="523" t="s">
        <v>304</v>
      </c>
      <c r="B366" s="474" t="s">
        <v>2073</v>
      </c>
      <c r="C366" s="523" t="s">
        <v>2074</v>
      </c>
      <c r="D366" s="453" t="str">
        <f t="shared" si="17"/>
        <v>BRB Barbados</v>
      </c>
      <c r="E366" s="524" t="s">
        <v>303</v>
      </c>
      <c r="F366" s="454" t="s">
        <v>2075</v>
      </c>
      <c r="G366" s="460" t="s">
        <v>2075</v>
      </c>
      <c r="H366" s="454" t="s">
        <v>303</v>
      </c>
      <c r="I366" s="454" t="s">
        <v>2076</v>
      </c>
      <c r="J366" s="454" t="str">
        <f t="shared" si="13"/>
        <v>[pt]Barbados</v>
      </c>
      <c r="K366" s="454" t="str">
        <f t="shared" si="14"/>
        <v>[gr]Barbados</v>
      </c>
      <c r="L366" s="525" t="s">
        <v>304</v>
      </c>
      <c r="M366" s="455" t="str">
        <f t="shared" si="18"/>
        <v/>
      </c>
    </row>
    <row r="367" spans="1:13" ht="15.75" customHeight="1">
      <c r="A367" s="523" t="s">
        <v>306</v>
      </c>
      <c r="B367" s="474" t="s">
        <v>2077</v>
      </c>
      <c r="C367" s="523" t="s">
        <v>2078</v>
      </c>
      <c r="D367" s="453" t="str">
        <f t="shared" si="17"/>
        <v>BRN Brunei Darussalam</v>
      </c>
      <c r="E367" s="524" t="s">
        <v>305</v>
      </c>
      <c r="F367" s="454" t="s">
        <v>2079</v>
      </c>
      <c r="G367" s="460" t="s">
        <v>2080</v>
      </c>
      <c r="H367" s="454" t="s">
        <v>2081</v>
      </c>
      <c r="I367" s="454" t="s">
        <v>2082</v>
      </c>
      <c r="J367" s="454" t="str">
        <f t="shared" si="13"/>
        <v>[pt]Brunei Darussalam</v>
      </c>
      <c r="K367" s="454" t="str">
        <f t="shared" si="14"/>
        <v>[gr]Brunei Darussalam</v>
      </c>
      <c r="L367" s="525" t="s">
        <v>306</v>
      </c>
      <c r="M367" s="455" t="str">
        <f t="shared" si="18"/>
        <v/>
      </c>
    </row>
    <row r="368" spans="1:13" ht="15.75" customHeight="1">
      <c r="A368" s="523" t="s">
        <v>308</v>
      </c>
      <c r="B368" s="474" t="s">
        <v>2083</v>
      </c>
      <c r="C368" s="523" t="s">
        <v>2084</v>
      </c>
      <c r="D368" s="453" t="str">
        <f t="shared" si="17"/>
        <v>BTN Bhutan</v>
      </c>
      <c r="E368" s="524" t="s">
        <v>307</v>
      </c>
      <c r="F368" s="454" t="s">
        <v>2085</v>
      </c>
      <c r="G368" s="460" t="s">
        <v>2085</v>
      </c>
      <c r="H368" s="454" t="s">
        <v>2086</v>
      </c>
      <c r="I368" s="454" t="s">
        <v>2087</v>
      </c>
      <c r="J368" s="454" t="str">
        <f t="shared" si="13"/>
        <v>[pt]Bhutan</v>
      </c>
      <c r="K368" s="454" t="str">
        <f t="shared" si="14"/>
        <v>[gr]Bhutan</v>
      </c>
      <c r="L368" s="525" t="s">
        <v>308</v>
      </c>
      <c r="M368" s="455" t="str">
        <f t="shared" si="18"/>
        <v/>
      </c>
    </row>
    <row r="369" spans="1:13" ht="15.75" customHeight="1">
      <c r="A369" s="523" t="s">
        <v>310</v>
      </c>
      <c r="B369" s="474" t="s">
        <v>2088</v>
      </c>
      <c r="C369" s="523" t="s">
        <v>2089</v>
      </c>
      <c r="D369" s="453" t="str">
        <f t="shared" si="17"/>
        <v>BWA Botswana</v>
      </c>
      <c r="E369" s="524" t="s">
        <v>309</v>
      </c>
      <c r="F369" s="454" t="s">
        <v>2090</v>
      </c>
      <c r="G369" s="460" t="s">
        <v>2090</v>
      </c>
      <c r="H369" s="454" t="s">
        <v>2091</v>
      </c>
      <c r="I369" s="454" t="s">
        <v>309</v>
      </c>
      <c r="J369" s="454" t="str">
        <f t="shared" si="13"/>
        <v>[pt]Botswana</v>
      </c>
      <c r="K369" s="454" t="str">
        <f t="shared" si="14"/>
        <v>[gr]Botswana</v>
      </c>
      <c r="L369" s="525" t="s">
        <v>310</v>
      </c>
      <c r="M369" s="455" t="str">
        <f t="shared" si="18"/>
        <v/>
      </c>
    </row>
    <row r="370" spans="1:13" ht="15.75" customHeight="1">
      <c r="A370" s="523" t="s">
        <v>312</v>
      </c>
      <c r="B370" s="474" t="s">
        <v>2092</v>
      </c>
      <c r="C370" s="523" t="s">
        <v>2093</v>
      </c>
      <c r="D370" s="453" t="str">
        <f t="shared" si="17"/>
        <v>CAF Zentralafrikanische Republik</v>
      </c>
      <c r="E370" s="524" t="s">
        <v>2094</v>
      </c>
      <c r="F370" s="454" t="s">
        <v>2095</v>
      </c>
      <c r="G370" s="460" t="s">
        <v>2096</v>
      </c>
      <c r="H370" s="454" t="s">
        <v>2097</v>
      </c>
      <c r="I370" s="454" t="s">
        <v>2098</v>
      </c>
      <c r="J370" s="454" t="str">
        <f t="shared" si="13"/>
        <v>[pt]Zentralafrikanische Republik</v>
      </c>
      <c r="K370" s="454" t="str">
        <f t="shared" si="14"/>
        <v>[gr]Zentralafrikanische Republik</v>
      </c>
      <c r="L370" s="525" t="s">
        <v>312</v>
      </c>
      <c r="M370" s="455" t="str">
        <f t="shared" si="18"/>
        <v/>
      </c>
    </row>
    <row r="371" spans="1:13" ht="15.75" customHeight="1">
      <c r="A371" s="523" t="s">
        <v>314</v>
      </c>
      <c r="B371" s="474" t="s">
        <v>2099</v>
      </c>
      <c r="C371" s="523" t="s">
        <v>2100</v>
      </c>
      <c r="D371" s="453" t="str">
        <f t="shared" si="17"/>
        <v>CAN Kanada</v>
      </c>
      <c r="E371" s="524" t="s">
        <v>2101</v>
      </c>
      <c r="F371" s="454" t="s">
        <v>2102</v>
      </c>
      <c r="G371" s="460" t="s">
        <v>2102</v>
      </c>
      <c r="H371" s="454" t="s">
        <v>2103</v>
      </c>
      <c r="I371" s="454" t="s">
        <v>313</v>
      </c>
      <c r="J371" s="454" t="str">
        <f t="shared" si="13"/>
        <v>[pt]Kanada</v>
      </c>
      <c r="K371" s="454" t="str">
        <f t="shared" si="14"/>
        <v>[gr]Kanada</v>
      </c>
      <c r="L371" s="525" t="s">
        <v>314</v>
      </c>
      <c r="M371" s="455" t="str">
        <f t="shared" si="18"/>
        <v/>
      </c>
    </row>
    <row r="372" spans="1:13" ht="15.75" customHeight="1">
      <c r="A372" s="523" t="s">
        <v>316</v>
      </c>
      <c r="B372" s="474" t="s">
        <v>2104</v>
      </c>
      <c r="C372" s="523" t="s">
        <v>2105</v>
      </c>
      <c r="D372" s="453" t="str">
        <f t="shared" si="17"/>
        <v>CHE Schweiz (Confoederatio Helvetica)</v>
      </c>
      <c r="E372" s="524" t="s">
        <v>2106</v>
      </c>
      <c r="F372" s="454" t="s">
        <v>2107</v>
      </c>
      <c r="G372" s="460" t="s">
        <v>2108</v>
      </c>
      <c r="H372" s="454" t="s">
        <v>2109</v>
      </c>
      <c r="I372" s="454" t="s">
        <v>2110</v>
      </c>
      <c r="J372" s="454" t="str">
        <f t="shared" si="13"/>
        <v>[pt]Schweiz (Confoederatio Helvetica)</v>
      </c>
      <c r="K372" s="454" t="str">
        <f t="shared" si="14"/>
        <v>[gr]Schweiz (Confoederatio Helvetica)</v>
      </c>
      <c r="L372" s="525" t="s">
        <v>316</v>
      </c>
      <c r="M372" s="455" t="str">
        <f t="shared" si="18"/>
        <v/>
      </c>
    </row>
    <row r="373" spans="1:13" ht="15.75" customHeight="1">
      <c r="A373" s="523" t="s">
        <v>318</v>
      </c>
      <c r="B373" s="474" t="s">
        <v>2111</v>
      </c>
      <c r="C373" s="523" t="s">
        <v>2112</v>
      </c>
      <c r="D373" s="453" t="str">
        <f t="shared" si="17"/>
        <v>CHL Chile</v>
      </c>
      <c r="E373" s="524" t="s">
        <v>317</v>
      </c>
      <c r="F373" s="454" t="s">
        <v>2113</v>
      </c>
      <c r="G373" s="460" t="s">
        <v>2114</v>
      </c>
      <c r="H373" s="454" t="s">
        <v>317</v>
      </c>
      <c r="I373" s="454" t="s">
        <v>2115</v>
      </c>
      <c r="J373" s="454" t="str">
        <f t="shared" si="13"/>
        <v>[pt]Chile</v>
      </c>
      <c r="K373" s="454" t="str">
        <f t="shared" si="14"/>
        <v>[gr]Chile</v>
      </c>
      <c r="L373" s="525" t="s">
        <v>318</v>
      </c>
      <c r="M373" s="455" t="str">
        <f t="shared" si="18"/>
        <v/>
      </c>
    </row>
    <row r="374" spans="1:13" ht="15.75" customHeight="1">
      <c r="A374" s="523" t="s">
        <v>320</v>
      </c>
      <c r="B374" s="474" t="s">
        <v>2116</v>
      </c>
      <c r="C374" s="523" t="s">
        <v>2117</v>
      </c>
      <c r="D374" s="453" t="str">
        <f t="shared" si="17"/>
        <v>CHN China, Volksrepublik</v>
      </c>
      <c r="E374" s="524" t="s">
        <v>2118</v>
      </c>
      <c r="F374" s="454" t="s">
        <v>2119</v>
      </c>
      <c r="G374" s="460" t="s">
        <v>2120</v>
      </c>
      <c r="H374" s="454" t="s">
        <v>319</v>
      </c>
      <c r="I374" s="454" t="s">
        <v>2121</v>
      </c>
      <c r="J374" s="454" t="str">
        <f t="shared" si="13"/>
        <v>[pt]China, Volksrepublik</v>
      </c>
      <c r="K374" s="454" t="str">
        <f t="shared" si="14"/>
        <v>[gr]China, Volksrepublik</v>
      </c>
      <c r="L374" s="525" t="s">
        <v>320</v>
      </c>
      <c r="M374" s="455" t="str">
        <f t="shared" si="18"/>
        <v/>
      </c>
    </row>
    <row r="375" spans="1:13" ht="15.75" customHeight="1">
      <c r="A375" s="523" t="s">
        <v>322</v>
      </c>
      <c r="B375" s="474" t="s">
        <v>2122</v>
      </c>
      <c r="C375" s="523" t="s">
        <v>2123</v>
      </c>
      <c r="D375" s="453" t="str">
        <f t="shared" si="17"/>
        <v>CIV Côte d’Ivoire (Elfenbeinküste)</v>
      </c>
      <c r="E375" s="524" t="s">
        <v>2124</v>
      </c>
      <c r="F375" s="454" t="s">
        <v>2125</v>
      </c>
      <c r="G375" s="460" t="s">
        <v>2126</v>
      </c>
      <c r="H375" s="454" t="s">
        <v>2127</v>
      </c>
      <c r="I375" s="454" t="s">
        <v>2128</v>
      </c>
      <c r="J375" s="454" t="str">
        <f t="shared" si="13"/>
        <v>[pt]Côte d’Ivoire (Elfenbeinküste)</v>
      </c>
      <c r="K375" s="454" t="str">
        <f t="shared" si="14"/>
        <v>[gr]Côte d’Ivoire (Elfenbeinküste)</v>
      </c>
      <c r="L375" s="525" t="s">
        <v>322</v>
      </c>
      <c r="M375" s="455" t="str">
        <f t="shared" si="18"/>
        <v/>
      </c>
    </row>
    <row r="376" spans="1:13" ht="15.75" customHeight="1">
      <c r="A376" s="523" t="s">
        <v>324</v>
      </c>
      <c r="B376" s="474" t="s">
        <v>2129</v>
      </c>
      <c r="C376" s="523" t="s">
        <v>2130</v>
      </c>
      <c r="D376" s="453" t="str">
        <f t="shared" si="17"/>
        <v>CMR Kamerun</v>
      </c>
      <c r="E376" s="524" t="s">
        <v>2131</v>
      </c>
      <c r="F376" s="454" t="s">
        <v>2132</v>
      </c>
      <c r="G376" s="460" t="s">
        <v>2133</v>
      </c>
      <c r="H376" s="454" t="s">
        <v>2134</v>
      </c>
      <c r="I376" s="454" t="s">
        <v>2135</v>
      </c>
      <c r="J376" s="454" t="str">
        <f t="shared" si="13"/>
        <v>[pt]Kamerun</v>
      </c>
      <c r="K376" s="454" t="str">
        <f t="shared" si="14"/>
        <v>[gr]Kamerun</v>
      </c>
      <c r="L376" s="525" t="s">
        <v>324</v>
      </c>
      <c r="M376" s="455" t="str">
        <f t="shared" si="18"/>
        <v/>
      </c>
    </row>
    <row r="377" spans="1:13" ht="15.75" customHeight="1">
      <c r="A377" s="523" t="s">
        <v>326</v>
      </c>
      <c r="B377" s="474" t="s">
        <v>2136</v>
      </c>
      <c r="C377" s="523" t="s">
        <v>2137</v>
      </c>
      <c r="D377" s="453" t="str">
        <f t="shared" si="17"/>
        <v>COD Kongo, Demokratische Republik (ehem. Zaire)</v>
      </c>
      <c r="E377" s="524" t="s">
        <v>2138</v>
      </c>
      <c r="F377" s="454" t="s">
        <v>2139</v>
      </c>
      <c r="G377" s="460" t="s">
        <v>2140</v>
      </c>
      <c r="H377" s="454" t="s">
        <v>2141</v>
      </c>
      <c r="I377" s="454" t="s">
        <v>2142</v>
      </c>
      <c r="J377" s="454" t="str">
        <f t="shared" si="13"/>
        <v>[pt]Kongo, Demokratische Republik (ehem. Zaire)</v>
      </c>
      <c r="K377" s="454" t="str">
        <f t="shared" si="14"/>
        <v>[gr]Kongo, Demokratische Republik (ehem. Zaire)</v>
      </c>
      <c r="L377" s="525" t="s">
        <v>326</v>
      </c>
      <c r="M377" s="455" t="str">
        <f t="shared" si="18"/>
        <v/>
      </c>
    </row>
    <row r="378" spans="1:13" ht="15.75" customHeight="1">
      <c r="A378" s="523" t="s">
        <v>328</v>
      </c>
      <c r="B378" s="474" t="s">
        <v>2143</v>
      </c>
      <c r="C378" s="523" t="s">
        <v>2144</v>
      </c>
      <c r="D378" s="453" t="str">
        <f t="shared" si="17"/>
        <v>COG Republik Kongo</v>
      </c>
      <c r="E378" s="524" t="s">
        <v>2145</v>
      </c>
      <c r="F378" s="454" t="s">
        <v>2146</v>
      </c>
      <c r="G378" s="460" t="s">
        <v>2147</v>
      </c>
      <c r="H378" s="454" t="s">
        <v>2148</v>
      </c>
      <c r="I378" s="454" t="s">
        <v>2149</v>
      </c>
      <c r="J378" s="454" t="str">
        <f t="shared" si="13"/>
        <v>[pt]Republik Kongo</v>
      </c>
      <c r="K378" s="454" t="str">
        <f t="shared" si="14"/>
        <v>[gr]Republik Kongo</v>
      </c>
      <c r="L378" s="525" t="s">
        <v>328</v>
      </c>
      <c r="M378" s="455" t="str">
        <f t="shared" si="18"/>
        <v/>
      </c>
    </row>
    <row r="379" spans="1:13" ht="15.75" customHeight="1">
      <c r="A379" s="523" t="s">
        <v>330</v>
      </c>
      <c r="B379" s="474" t="s">
        <v>2150</v>
      </c>
      <c r="C379" s="523" t="s">
        <v>2151</v>
      </c>
      <c r="D379" s="453" t="str">
        <f t="shared" si="17"/>
        <v>COL Kolumbien</v>
      </c>
      <c r="E379" s="524" t="s">
        <v>2152</v>
      </c>
      <c r="F379" s="454" t="s">
        <v>2153</v>
      </c>
      <c r="G379" s="460" t="s">
        <v>2153</v>
      </c>
      <c r="H379" s="454" t="s">
        <v>329</v>
      </c>
      <c r="I379" s="454" t="s">
        <v>2154</v>
      </c>
      <c r="J379" s="454" t="str">
        <f t="shared" si="13"/>
        <v>[pt]Kolumbien</v>
      </c>
      <c r="K379" s="454" t="str">
        <f t="shared" si="14"/>
        <v>[gr]Kolumbien</v>
      </c>
      <c r="L379" s="525" t="s">
        <v>330</v>
      </c>
      <c r="M379" s="455" t="str">
        <f t="shared" si="18"/>
        <v/>
      </c>
    </row>
    <row r="380" spans="1:13" ht="15.75" customHeight="1">
      <c r="A380" s="523" t="s">
        <v>332</v>
      </c>
      <c r="B380" s="474" t="s">
        <v>2155</v>
      </c>
      <c r="C380" s="523" t="s">
        <v>2156</v>
      </c>
      <c r="D380" s="453" t="str">
        <f t="shared" si="17"/>
        <v>COM Komoren</v>
      </c>
      <c r="E380" s="524" t="s">
        <v>2157</v>
      </c>
      <c r="F380" s="454" t="s">
        <v>2158</v>
      </c>
      <c r="G380" s="460" t="s">
        <v>2159</v>
      </c>
      <c r="H380" s="454" t="s">
        <v>2160</v>
      </c>
      <c r="I380" s="454" t="s">
        <v>2161</v>
      </c>
      <c r="J380" s="454" t="str">
        <f t="shared" si="13"/>
        <v>[pt]Komoren</v>
      </c>
      <c r="K380" s="454" t="str">
        <f t="shared" si="14"/>
        <v>[gr]Komoren</v>
      </c>
      <c r="L380" s="525" t="s">
        <v>332</v>
      </c>
      <c r="M380" s="455" t="str">
        <f t="shared" si="18"/>
        <v/>
      </c>
    </row>
    <row r="381" spans="1:13" ht="15.75" customHeight="1">
      <c r="A381" s="523" t="s">
        <v>334</v>
      </c>
      <c r="B381" s="474" t="s">
        <v>2162</v>
      </c>
      <c r="C381" s="523" t="s">
        <v>2163</v>
      </c>
      <c r="D381" s="453" t="str">
        <f t="shared" si="17"/>
        <v>CPV Kap Verde</v>
      </c>
      <c r="E381" s="524" t="s">
        <v>2164</v>
      </c>
      <c r="F381" s="454" t="s">
        <v>2165</v>
      </c>
      <c r="G381" s="460" t="s">
        <v>2166</v>
      </c>
      <c r="H381" s="454" t="s">
        <v>333</v>
      </c>
      <c r="I381" s="454" t="s">
        <v>2167</v>
      </c>
      <c r="J381" s="454" t="str">
        <f t="shared" si="13"/>
        <v>[pt]Kap Verde</v>
      </c>
      <c r="K381" s="454" t="str">
        <f t="shared" si="14"/>
        <v>[gr]Kap Verde</v>
      </c>
      <c r="L381" s="525" t="s">
        <v>334</v>
      </c>
      <c r="M381" s="455" t="str">
        <f t="shared" si="18"/>
        <v/>
      </c>
    </row>
    <row r="382" spans="1:13" ht="15.75" customHeight="1">
      <c r="A382" s="523" t="s">
        <v>336</v>
      </c>
      <c r="B382" s="474" t="s">
        <v>2168</v>
      </c>
      <c r="C382" s="523" t="s">
        <v>2169</v>
      </c>
      <c r="D382" s="453" t="str">
        <f t="shared" si="17"/>
        <v>CRI Costa Rica</v>
      </c>
      <c r="E382" s="524" t="s">
        <v>335</v>
      </c>
      <c r="F382" s="454" t="s">
        <v>2170</v>
      </c>
      <c r="G382" s="460" t="s">
        <v>2170</v>
      </c>
      <c r="H382" s="454" t="s">
        <v>335</v>
      </c>
      <c r="I382" s="454" t="s">
        <v>335</v>
      </c>
      <c r="J382" s="454" t="str">
        <f t="shared" si="13"/>
        <v>[pt]Costa Rica</v>
      </c>
      <c r="K382" s="454" t="str">
        <f t="shared" si="14"/>
        <v>[gr]Costa Rica</v>
      </c>
      <c r="L382" s="525" t="s">
        <v>336</v>
      </c>
      <c r="M382" s="455" t="str">
        <f t="shared" si="18"/>
        <v/>
      </c>
    </row>
    <row r="383" spans="1:13" ht="15.75" customHeight="1">
      <c r="A383" s="523" t="s">
        <v>338</v>
      </c>
      <c r="B383" s="474" t="s">
        <v>2171</v>
      </c>
      <c r="C383" s="523" t="s">
        <v>2172</v>
      </c>
      <c r="D383" s="453" t="str">
        <f t="shared" si="17"/>
        <v>CUB Kuba</v>
      </c>
      <c r="E383" s="524" t="s">
        <v>2173</v>
      </c>
      <c r="F383" s="454" t="s">
        <v>2174</v>
      </c>
      <c r="G383" s="460" t="s">
        <v>2174</v>
      </c>
      <c r="H383" s="454" t="s">
        <v>337</v>
      </c>
      <c r="I383" s="454" t="s">
        <v>337</v>
      </c>
      <c r="J383" s="454" t="str">
        <f t="shared" si="13"/>
        <v>[pt]Kuba</v>
      </c>
      <c r="K383" s="454" t="str">
        <f t="shared" si="14"/>
        <v>[gr]Kuba</v>
      </c>
      <c r="L383" s="525" t="s">
        <v>338</v>
      </c>
      <c r="M383" s="455" t="str">
        <f t="shared" si="18"/>
        <v/>
      </c>
    </row>
    <row r="384" spans="1:13" ht="15.75" customHeight="1">
      <c r="A384" s="523" t="s">
        <v>340</v>
      </c>
      <c r="B384" s="474" t="s">
        <v>2175</v>
      </c>
      <c r="C384" s="523" t="s">
        <v>2176</v>
      </c>
      <c r="D384" s="453" t="str">
        <f t="shared" si="17"/>
        <v>CUW Curaçao</v>
      </c>
      <c r="E384" s="451" t="s">
        <v>2177</v>
      </c>
      <c r="F384" s="454" t="s">
        <v>2178</v>
      </c>
      <c r="G384" s="460" t="s">
        <v>2178</v>
      </c>
      <c r="H384" s="454" t="s">
        <v>2179</v>
      </c>
      <c r="I384" s="454" t="s">
        <v>2177</v>
      </c>
      <c r="J384" s="454" t="str">
        <f t="shared" si="13"/>
        <v>[pt]Curaçao</v>
      </c>
      <c r="K384" s="454" t="str">
        <f t="shared" si="14"/>
        <v>[gr]Curaçao</v>
      </c>
      <c r="L384" s="525" t="s">
        <v>340</v>
      </c>
      <c r="M384" s="455" t="str">
        <f t="shared" si="18"/>
        <v/>
      </c>
    </row>
    <row r="385" spans="1:13" ht="15.75" customHeight="1">
      <c r="A385" s="523" t="s">
        <v>342</v>
      </c>
      <c r="B385" s="474" t="s">
        <v>2180</v>
      </c>
      <c r="C385" s="523" t="s">
        <v>2181</v>
      </c>
      <c r="D385" s="453" t="str">
        <f t="shared" si="17"/>
        <v>CYM Kaimaninseln</v>
      </c>
      <c r="E385" s="524" t="s">
        <v>2182</v>
      </c>
      <c r="F385" s="454" t="s">
        <v>2183</v>
      </c>
      <c r="G385" s="460" t="s">
        <v>2184</v>
      </c>
      <c r="H385" s="454" t="s">
        <v>2185</v>
      </c>
      <c r="I385" s="454" t="s">
        <v>2186</v>
      </c>
      <c r="J385" s="454" t="str">
        <f t="shared" si="13"/>
        <v>[pt]Kaimaninseln</v>
      </c>
      <c r="K385" s="454" t="str">
        <f t="shared" si="14"/>
        <v>[gr]Kaimaninseln</v>
      </c>
      <c r="L385" s="525" t="s">
        <v>342</v>
      </c>
      <c r="M385" s="455" t="str">
        <f t="shared" si="18"/>
        <v/>
      </c>
    </row>
    <row r="386" spans="1:13" ht="15.75" customHeight="1">
      <c r="A386" s="523" t="s">
        <v>344</v>
      </c>
      <c r="B386" s="474" t="s">
        <v>2187</v>
      </c>
      <c r="C386" s="523" t="s">
        <v>2188</v>
      </c>
      <c r="D386" s="453" t="str">
        <f t="shared" si="17"/>
        <v>CYP Zypern</v>
      </c>
      <c r="E386" s="524" t="s">
        <v>2189</v>
      </c>
      <c r="F386" s="454" t="s">
        <v>2190</v>
      </c>
      <c r="G386" s="460" t="s">
        <v>2191</v>
      </c>
      <c r="H386" s="454" t="s">
        <v>2192</v>
      </c>
      <c r="I386" s="454" t="s">
        <v>2193</v>
      </c>
      <c r="J386" s="454" t="str">
        <f t="shared" si="13"/>
        <v>[pt]Zypern</v>
      </c>
      <c r="K386" s="454" t="str">
        <f t="shared" si="14"/>
        <v>[gr]Zypern</v>
      </c>
      <c r="L386" s="525" t="s">
        <v>344</v>
      </c>
      <c r="M386" s="455" t="str">
        <f t="shared" si="18"/>
        <v/>
      </c>
    </row>
    <row r="387" spans="1:13" ht="15.75" customHeight="1">
      <c r="A387" s="523" t="s">
        <v>346</v>
      </c>
      <c r="B387" s="474" t="s">
        <v>2194</v>
      </c>
      <c r="C387" s="523" t="s">
        <v>2195</v>
      </c>
      <c r="D387" s="453" t="str">
        <f t="shared" si="17"/>
        <v>CZE Tschechische Republik</v>
      </c>
      <c r="E387" s="524" t="s">
        <v>2196</v>
      </c>
      <c r="F387" s="454" t="s">
        <v>2197</v>
      </c>
      <c r="G387" s="460" t="s">
        <v>2198</v>
      </c>
      <c r="H387" s="454" t="s">
        <v>2199</v>
      </c>
      <c r="I387" s="454" t="s">
        <v>2200</v>
      </c>
      <c r="J387" s="454" t="str">
        <f t="shared" si="13"/>
        <v>[pt]Tschechische Republik</v>
      </c>
      <c r="K387" s="454" t="str">
        <f t="shared" si="14"/>
        <v>[gr]Tschechische Republik</v>
      </c>
      <c r="L387" s="525" t="s">
        <v>346</v>
      </c>
      <c r="M387" s="455" t="str">
        <f t="shared" si="18"/>
        <v/>
      </c>
    </row>
    <row r="388" spans="1:13" ht="15.75" customHeight="1">
      <c r="A388" s="523" t="s">
        <v>348</v>
      </c>
      <c r="B388" s="474" t="s">
        <v>2201</v>
      </c>
      <c r="C388" s="523" t="s">
        <v>2202</v>
      </c>
      <c r="D388" s="453" t="str">
        <f t="shared" si="17"/>
        <v>DEU Deutschland</v>
      </c>
      <c r="E388" s="524" t="s">
        <v>2203</v>
      </c>
      <c r="F388" s="454" t="s">
        <v>2204</v>
      </c>
      <c r="G388" s="460" t="s">
        <v>2205</v>
      </c>
      <c r="H388" s="454" t="s">
        <v>2206</v>
      </c>
      <c r="I388" s="454" t="s">
        <v>2207</v>
      </c>
      <c r="J388" s="454" t="str">
        <f t="shared" si="13"/>
        <v>[pt]Deutschland</v>
      </c>
      <c r="K388" s="454" t="str">
        <f t="shared" si="14"/>
        <v>[gr]Deutschland</v>
      </c>
      <c r="L388" s="525" t="s">
        <v>348</v>
      </c>
      <c r="M388" s="455" t="str">
        <f t="shared" si="18"/>
        <v/>
      </c>
    </row>
    <row r="389" spans="1:13" ht="15.75" customHeight="1">
      <c r="A389" s="523" t="s">
        <v>350</v>
      </c>
      <c r="B389" s="474" t="s">
        <v>2208</v>
      </c>
      <c r="C389" s="523" t="s">
        <v>2209</v>
      </c>
      <c r="D389" s="453" t="str">
        <f t="shared" si="17"/>
        <v>DJI Dschibuti</v>
      </c>
      <c r="E389" s="524" t="s">
        <v>2210</v>
      </c>
      <c r="F389" s="454" t="s">
        <v>2211</v>
      </c>
      <c r="G389" s="460" t="s">
        <v>2212</v>
      </c>
      <c r="H389" s="454" t="s">
        <v>2213</v>
      </c>
      <c r="I389" s="454" t="s">
        <v>349</v>
      </c>
      <c r="J389" s="454" t="str">
        <f t="shared" si="13"/>
        <v>[pt]Dschibuti</v>
      </c>
      <c r="K389" s="454" t="str">
        <f t="shared" si="14"/>
        <v>[gr]Dschibuti</v>
      </c>
      <c r="L389" s="525" t="s">
        <v>350</v>
      </c>
      <c r="M389" s="455" t="str">
        <f t="shared" si="18"/>
        <v/>
      </c>
    </row>
    <row r="390" spans="1:13" ht="15.75" customHeight="1">
      <c r="A390" s="523" t="s">
        <v>352</v>
      </c>
      <c r="B390" s="474" t="s">
        <v>2214</v>
      </c>
      <c r="C390" s="523" t="s">
        <v>2215</v>
      </c>
      <c r="D390" s="453" t="str">
        <f t="shared" si="17"/>
        <v>DMA Dominica</v>
      </c>
      <c r="E390" s="524" t="s">
        <v>351</v>
      </c>
      <c r="F390" s="454" t="s">
        <v>2216</v>
      </c>
      <c r="G390" s="460" t="s">
        <v>2216</v>
      </c>
      <c r="H390" s="454" t="s">
        <v>351</v>
      </c>
      <c r="I390" s="454" t="s">
        <v>2217</v>
      </c>
      <c r="J390" s="454" t="str">
        <f t="shared" si="13"/>
        <v>[pt]Dominica</v>
      </c>
      <c r="K390" s="454" t="str">
        <f t="shared" si="14"/>
        <v>[gr]Dominica</v>
      </c>
      <c r="L390" s="525" t="s">
        <v>352</v>
      </c>
      <c r="M390" s="455" t="str">
        <f t="shared" si="18"/>
        <v/>
      </c>
    </row>
    <row r="391" spans="1:13" ht="15.75" customHeight="1">
      <c r="A391" s="523" t="s">
        <v>354</v>
      </c>
      <c r="B391" s="474" t="s">
        <v>2218</v>
      </c>
      <c r="C391" s="523" t="s">
        <v>2219</v>
      </c>
      <c r="D391" s="453" t="str">
        <f t="shared" si="17"/>
        <v>DNK Dänemark</v>
      </c>
      <c r="E391" s="524" t="s">
        <v>2220</v>
      </c>
      <c r="F391" s="454" t="s">
        <v>2221</v>
      </c>
      <c r="G391" s="460" t="s">
        <v>2222</v>
      </c>
      <c r="H391" s="454" t="s">
        <v>2223</v>
      </c>
      <c r="I391" s="454" t="s">
        <v>2224</v>
      </c>
      <c r="J391" s="454" t="str">
        <f t="shared" si="13"/>
        <v>[pt]Dänemark</v>
      </c>
      <c r="K391" s="454" t="str">
        <f t="shared" si="14"/>
        <v>[gr]Dänemark</v>
      </c>
      <c r="L391" s="525" t="s">
        <v>354</v>
      </c>
      <c r="M391" s="455" t="str">
        <f t="shared" si="18"/>
        <v/>
      </c>
    </row>
    <row r="392" spans="1:13" ht="15.75" customHeight="1">
      <c r="A392" s="523" t="s">
        <v>356</v>
      </c>
      <c r="B392" s="474" t="s">
        <v>2225</v>
      </c>
      <c r="C392" s="523" t="s">
        <v>2226</v>
      </c>
      <c r="D392" s="453" t="str">
        <f t="shared" si="17"/>
        <v>DOM Dominikanische Republik</v>
      </c>
      <c r="E392" s="524" t="s">
        <v>2227</v>
      </c>
      <c r="F392" s="454" t="s">
        <v>2228</v>
      </c>
      <c r="G392" s="460" t="s">
        <v>2229</v>
      </c>
      <c r="H392" s="454" t="s">
        <v>2230</v>
      </c>
      <c r="I392" s="454" t="s">
        <v>2231</v>
      </c>
      <c r="J392" s="454" t="str">
        <f t="shared" si="13"/>
        <v>[pt]Dominikanische Republik</v>
      </c>
      <c r="K392" s="454" t="str">
        <f t="shared" si="14"/>
        <v>[gr]Dominikanische Republik</v>
      </c>
      <c r="L392" s="525" t="s">
        <v>356</v>
      </c>
      <c r="M392" s="455" t="str">
        <f t="shared" si="18"/>
        <v/>
      </c>
    </row>
    <row r="393" spans="1:13" ht="15.75" customHeight="1">
      <c r="A393" s="523" t="s">
        <v>358</v>
      </c>
      <c r="B393" s="474" t="s">
        <v>2232</v>
      </c>
      <c r="C393" s="523" t="s">
        <v>2233</v>
      </c>
      <c r="D393" s="453" t="str">
        <f t="shared" si="17"/>
        <v>DZA Algerien</v>
      </c>
      <c r="E393" s="524" t="s">
        <v>2234</v>
      </c>
      <c r="F393" s="454" t="s">
        <v>2235</v>
      </c>
      <c r="G393" s="460" t="s">
        <v>2235</v>
      </c>
      <c r="H393" s="454" t="s">
        <v>2236</v>
      </c>
      <c r="I393" s="454" t="s">
        <v>2237</v>
      </c>
      <c r="J393" s="454" t="str">
        <f t="shared" si="13"/>
        <v>[pt]Algerien</v>
      </c>
      <c r="K393" s="454" t="str">
        <f t="shared" si="14"/>
        <v>[gr]Algerien</v>
      </c>
      <c r="L393" s="525" t="s">
        <v>358</v>
      </c>
      <c r="M393" s="455" t="str">
        <f t="shared" si="18"/>
        <v/>
      </c>
    </row>
    <row r="394" spans="1:13" ht="15.75" customHeight="1">
      <c r="A394" s="523" t="s">
        <v>360</v>
      </c>
      <c r="B394" s="474" t="s">
        <v>2238</v>
      </c>
      <c r="C394" s="523" t="s">
        <v>2239</v>
      </c>
      <c r="D394" s="453" t="str">
        <f t="shared" si="17"/>
        <v>ECU Ecuador</v>
      </c>
      <c r="E394" s="524" t="s">
        <v>359</v>
      </c>
      <c r="F394" s="454" t="s">
        <v>2240</v>
      </c>
      <c r="G394" s="460" t="s">
        <v>2240</v>
      </c>
      <c r="H394" s="454" t="s">
        <v>359</v>
      </c>
      <c r="I394" s="454" t="s">
        <v>2241</v>
      </c>
      <c r="J394" s="454" t="str">
        <f t="shared" si="13"/>
        <v>[pt]Ecuador</v>
      </c>
      <c r="K394" s="454" t="str">
        <f t="shared" si="14"/>
        <v>[gr]Ecuador</v>
      </c>
      <c r="L394" s="525" t="s">
        <v>360</v>
      </c>
      <c r="M394" s="455" t="str">
        <f t="shared" si="18"/>
        <v/>
      </c>
    </row>
    <row r="395" spans="1:13" ht="15.75" customHeight="1">
      <c r="A395" s="523" t="s">
        <v>362</v>
      </c>
      <c r="B395" s="474" t="s">
        <v>2242</v>
      </c>
      <c r="C395" s="523" t="s">
        <v>2243</v>
      </c>
      <c r="D395" s="453" t="str">
        <f t="shared" si="17"/>
        <v>EGY Ägypten</v>
      </c>
      <c r="E395" s="524" t="s">
        <v>2244</v>
      </c>
      <c r="F395" s="454" t="s">
        <v>2245</v>
      </c>
      <c r="G395" s="460" t="s">
        <v>2246</v>
      </c>
      <c r="H395" s="454" t="s">
        <v>2247</v>
      </c>
      <c r="I395" s="454" t="s">
        <v>2248</v>
      </c>
      <c r="J395" s="454" t="str">
        <f t="shared" si="13"/>
        <v>[pt]Ägypten</v>
      </c>
      <c r="K395" s="454" t="str">
        <f t="shared" si="14"/>
        <v>[gr]Ägypten</v>
      </c>
      <c r="L395" s="525" t="s">
        <v>362</v>
      </c>
      <c r="M395" s="455" t="str">
        <f t="shared" si="18"/>
        <v/>
      </c>
    </row>
    <row r="396" spans="1:13" ht="15.75" customHeight="1">
      <c r="A396" s="523" t="s">
        <v>364</v>
      </c>
      <c r="B396" s="474" t="s">
        <v>2249</v>
      </c>
      <c r="C396" s="523" t="s">
        <v>2250</v>
      </c>
      <c r="D396" s="453" t="str">
        <f t="shared" si="17"/>
        <v>ERI Eritrea</v>
      </c>
      <c r="E396" s="524" t="s">
        <v>363</v>
      </c>
      <c r="F396" s="454" t="s">
        <v>2251</v>
      </c>
      <c r="G396" s="460" t="s">
        <v>2251</v>
      </c>
      <c r="H396" s="454" t="s">
        <v>363</v>
      </c>
      <c r="I396" s="454" t="s">
        <v>2252</v>
      </c>
      <c r="J396" s="454" t="str">
        <f t="shared" si="13"/>
        <v>[pt]Eritrea</v>
      </c>
      <c r="K396" s="454" t="str">
        <f t="shared" si="14"/>
        <v>[gr]Eritrea</v>
      </c>
      <c r="L396" s="525" t="s">
        <v>364</v>
      </c>
      <c r="M396" s="455" t="str">
        <f t="shared" si="18"/>
        <v/>
      </c>
    </row>
    <row r="397" spans="1:13" ht="15.75" customHeight="1">
      <c r="A397" s="523" t="s">
        <v>366</v>
      </c>
      <c r="B397" s="474" t="s">
        <v>2253</v>
      </c>
      <c r="C397" s="523" t="s">
        <v>2254</v>
      </c>
      <c r="D397" s="453" t="str">
        <f t="shared" si="17"/>
        <v>ESP Spanien</v>
      </c>
      <c r="E397" s="524" t="s">
        <v>2255</v>
      </c>
      <c r="F397" s="454" t="s">
        <v>2256</v>
      </c>
      <c r="G397" s="460" t="s">
        <v>2257</v>
      </c>
      <c r="H397" s="454" t="s">
        <v>2258</v>
      </c>
      <c r="I397" s="454" t="s">
        <v>2259</v>
      </c>
      <c r="J397" s="454" t="str">
        <f t="shared" si="13"/>
        <v>[pt]Spanien</v>
      </c>
      <c r="K397" s="454" t="str">
        <f t="shared" si="14"/>
        <v>[gr]Spanien</v>
      </c>
      <c r="L397" s="525" t="s">
        <v>366</v>
      </c>
      <c r="M397" s="455" t="str">
        <f t="shared" si="18"/>
        <v/>
      </c>
    </row>
    <row r="398" spans="1:13" ht="15.75" customHeight="1">
      <c r="A398" s="523" t="s">
        <v>368</v>
      </c>
      <c r="B398" s="474" t="s">
        <v>2260</v>
      </c>
      <c r="C398" s="523" t="s">
        <v>2261</v>
      </c>
      <c r="D398" s="453" t="str">
        <f t="shared" si="17"/>
        <v>EST Estland</v>
      </c>
      <c r="E398" s="524" t="s">
        <v>2262</v>
      </c>
      <c r="F398" s="454" t="s">
        <v>2263</v>
      </c>
      <c r="G398" s="460" t="s">
        <v>2263</v>
      </c>
      <c r="H398" s="454" t="s">
        <v>367</v>
      </c>
      <c r="I398" s="454" t="s">
        <v>2264</v>
      </c>
      <c r="J398" s="454" t="str">
        <f t="shared" si="13"/>
        <v>[pt]Estland</v>
      </c>
      <c r="K398" s="454" t="str">
        <f t="shared" si="14"/>
        <v>[gr]Estland</v>
      </c>
      <c r="L398" s="525" t="s">
        <v>368</v>
      </c>
      <c r="M398" s="455" t="str">
        <f t="shared" si="18"/>
        <v/>
      </c>
    </row>
    <row r="399" spans="1:13" ht="15.75" customHeight="1">
      <c r="A399" s="523" t="s">
        <v>370</v>
      </c>
      <c r="B399" s="474" t="s">
        <v>2265</v>
      </c>
      <c r="C399" s="523" t="s">
        <v>2266</v>
      </c>
      <c r="D399" s="453" t="str">
        <f t="shared" si="17"/>
        <v>ETH Äthiopien</v>
      </c>
      <c r="E399" s="524" t="s">
        <v>2267</v>
      </c>
      <c r="F399" s="454" t="s">
        <v>2268</v>
      </c>
      <c r="G399" s="460" t="s">
        <v>2269</v>
      </c>
      <c r="H399" s="454" t="s">
        <v>2270</v>
      </c>
      <c r="I399" s="454" t="s">
        <v>2271</v>
      </c>
      <c r="J399" s="454" t="str">
        <f t="shared" si="13"/>
        <v>[pt]Äthiopien</v>
      </c>
      <c r="K399" s="454" t="str">
        <f t="shared" si="14"/>
        <v>[gr]Äthiopien</v>
      </c>
      <c r="L399" s="525" t="s">
        <v>370</v>
      </c>
      <c r="M399" s="455" t="str">
        <f t="shared" si="18"/>
        <v/>
      </c>
    </row>
    <row r="400" spans="1:13" ht="15.75" customHeight="1">
      <c r="A400" s="523" t="s">
        <v>372</v>
      </c>
      <c r="B400" s="474" t="s">
        <v>2272</v>
      </c>
      <c r="C400" s="523" t="s">
        <v>2273</v>
      </c>
      <c r="D400" s="453" t="str">
        <f t="shared" si="17"/>
        <v>FIN Finnland</v>
      </c>
      <c r="E400" s="524" t="s">
        <v>2274</v>
      </c>
      <c r="F400" s="454" t="s">
        <v>2275</v>
      </c>
      <c r="G400" s="460" t="s">
        <v>2276</v>
      </c>
      <c r="H400" s="454" t="s">
        <v>2277</v>
      </c>
      <c r="I400" s="454" t="s">
        <v>2278</v>
      </c>
      <c r="J400" s="454" t="str">
        <f t="shared" si="13"/>
        <v>[pt]Finnland</v>
      </c>
      <c r="K400" s="454" t="str">
        <f t="shared" si="14"/>
        <v>[gr]Finnland</v>
      </c>
      <c r="L400" s="525" t="s">
        <v>372</v>
      </c>
      <c r="M400" s="455" t="str">
        <f t="shared" si="18"/>
        <v/>
      </c>
    </row>
    <row r="401" spans="1:13" ht="28.5" customHeight="1">
      <c r="A401" s="523" t="s">
        <v>374</v>
      </c>
      <c r="B401" s="474" t="s">
        <v>2279</v>
      </c>
      <c r="C401" s="523" t="s">
        <v>2280</v>
      </c>
      <c r="D401" s="453" t="str">
        <f t="shared" si="17"/>
        <v>FJI Fidschi</v>
      </c>
      <c r="E401" s="524" t="s">
        <v>2281</v>
      </c>
      <c r="F401" s="454" t="s">
        <v>2282</v>
      </c>
      <c r="G401" s="460" t="s">
        <v>2283</v>
      </c>
      <c r="H401" s="454" t="s">
        <v>2284</v>
      </c>
      <c r="I401" s="454" t="s">
        <v>373</v>
      </c>
      <c r="J401" s="454" t="str">
        <f t="shared" si="13"/>
        <v>[pt]Fidschi</v>
      </c>
      <c r="K401" s="454" t="str">
        <f t="shared" si="14"/>
        <v>[gr]Fidschi</v>
      </c>
      <c r="L401" s="525" t="s">
        <v>374</v>
      </c>
      <c r="M401" s="455" t="str">
        <f t="shared" si="18"/>
        <v/>
      </c>
    </row>
    <row r="402" spans="1:13" ht="15.75" customHeight="1">
      <c r="A402" s="523" t="s">
        <v>376</v>
      </c>
      <c r="B402" s="474" t="s">
        <v>2285</v>
      </c>
      <c r="C402" s="523" t="s">
        <v>2286</v>
      </c>
      <c r="D402" s="453" t="str">
        <f t="shared" si="17"/>
        <v>FRA Frankreich</v>
      </c>
      <c r="E402" s="524" t="s">
        <v>2287</v>
      </c>
      <c r="F402" s="454" t="s">
        <v>2288</v>
      </c>
      <c r="G402" s="460" t="s">
        <v>2289</v>
      </c>
      <c r="H402" s="454" t="s">
        <v>2290</v>
      </c>
      <c r="I402" s="454" t="s">
        <v>375</v>
      </c>
      <c r="J402" s="454" t="str">
        <f t="shared" si="13"/>
        <v>[pt]Frankreich</v>
      </c>
      <c r="K402" s="454" t="str">
        <f t="shared" si="14"/>
        <v>[gr]Frankreich</v>
      </c>
      <c r="L402" s="525" t="s">
        <v>376</v>
      </c>
      <c r="M402" s="455" t="str">
        <f t="shared" si="18"/>
        <v/>
      </c>
    </row>
    <row r="403" spans="1:13" ht="15.75" customHeight="1">
      <c r="A403" s="523" t="s">
        <v>378</v>
      </c>
      <c r="B403" s="474" t="s">
        <v>2291</v>
      </c>
      <c r="C403" s="523" t="s">
        <v>2292</v>
      </c>
      <c r="D403" s="453" t="str">
        <f t="shared" si="17"/>
        <v>FRO Färöer</v>
      </c>
      <c r="E403" s="524" t="s">
        <v>2293</v>
      </c>
      <c r="F403" s="454" t="s">
        <v>2294</v>
      </c>
      <c r="G403" s="460" t="s">
        <v>2295</v>
      </c>
      <c r="H403" s="454" t="s">
        <v>2296</v>
      </c>
      <c r="I403" s="454" t="s">
        <v>2297</v>
      </c>
      <c r="J403" s="454" t="str">
        <f t="shared" si="13"/>
        <v>[pt]Färöer</v>
      </c>
      <c r="K403" s="454" t="str">
        <f t="shared" si="14"/>
        <v>[gr]Färöer</v>
      </c>
      <c r="L403" s="525" t="s">
        <v>378</v>
      </c>
      <c r="M403" s="455" t="str">
        <f t="shared" si="18"/>
        <v/>
      </c>
    </row>
    <row r="404" spans="1:13" ht="15.75" customHeight="1">
      <c r="A404" s="523" t="s">
        <v>380</v>
      </c>
      <c r="B404" s="474" t="s">
        <v>2298</v>
      </c>
      <c r="C404" s="523" t="s">
        <v>2299</v>
      </c>
      <c r="D404" s="453" t="str">
        <f t="shared" si="17"/>
        <v>FSM Mikronesien</v>
      </c>
      <c r="E404" s="524" t="s">
        <v>2300</v>
      </c>
      <c r="F404" s="454" t="s">
        <v>2301</v>
      </c>
      <c r="G404" s="460" t="s">
        <v>2302</v>
      </c>
      <c r="H404" s="454" t="s">
        <v>2303</v>
      </c>
      <c r="I404" s="454" t="s">
        <v>2304</v>
      </c>
      <c r="J404" s="454" t="str">
        <f t="shared" si="13"/>
        <v>[pt]Mikronesien</v>
      </c>
      <c r="K404" s="454" t="str">
        <f t="shared" si="14"/>
        <v>[gr]Mikronesien</v>
      </c>
      <c r="L404" s="525" t="s">
        <v>380</v>
      </c>
      <c r="M404" s="455" t="str">
        <f t="shared" si="18"/>
        <v/>
      </c>
    </row>
    <row r="405" spans="1:13" ht="15.75" customHeight="1">
      <c r="A405" s="523" t="s">
        <v>382</v>
      </c>
      <c r="B405" s="474" t="s">
        <v>2305</v>
      </c>
      <c r="C405" s="523" t="s">
        <v>2306</v>
      </c>
      <c r="D405" s="453" t="str">
        <f t="shared" si="17"/>
        <v>GAB Gabun</v>
      </c>
      <c r="E405" s="524" t="s">
        <v>2307</v>
      </c>
      <c r="F405" s="454" t="s">
        <v>2308</v>
      </c>
      <c r="G405" s="460" t="s">
        <v>2308</v>
      </c>
      <c r="H405" s="454" t="s">
        <v>2309</v>
      </c>
      <c r="I405" s="454" t="s">
        <v>381</v>
      </c>
      <c r="J405" s="454" t="str">
        <f t="shared" si="13"/>
        <v>[pt]Gabun</v>
      </c>
      <c r="K405" s="454" t="str">
        <f t="shared" si="14"/>
        <v>[gr]Gabun</v>
      </c>
      <c r="L405" s="525" t="s">
        <v>382</v>
      </c>
      <c r="M405" s="455" t="str">
        <f t="shared" si="18"/>
        <v/>
      </c>
    </row>
    <row r="406" spans="1:13" ht="15.75" customHeight="1">
      <c r="A406" s="523" t="s">
        <v>384</v>
      </c>
      <c r="B406" s="474" t="s">
        <v>2310</v>
      </c>
      <c r="C406" s="523" t="s">
        <v>2311</v>
      </c>
      <c r="D406" s="453" t="str">
        <f t="shared" si="17"/>
        <v>GBR Vereinigtes Königreich Großbritannien und Nordirland</v>
      </c>
      <c r="E406" s="524" t="s">
        <v>2312</v>
      </c>
      <c r="F406" s="454" t="s">
        <v>2313</v>
      </c>
      <c r="G406" s="460" t="s">
        <v>2314</v>
      </c>
      <c r="H406" s="454" t="s">
        <v>2315</v>
      </c>
      <c r="I406" s="454" t="s">
        <v>2316</v>
      </c>
      <c r="J406" s="454" t="str">
        <f t="shared" si="13"/>
        <v>[pt]Vereinigtes Königreich Großbritannien und Nordirland</v>
      </c>
      <c r="K406" s="454" t="str">
        <f t="shared" si="14"/>
        <v>[gr]Vereinigtes Königreich Großbritannien und Nordirland</v>
      </c>
      <c r="L406" s="525" t="s">
        <v>384</v>
      </c>
      <c r="M406" s="455" t="str">
        <f t="shared" si="18"/>
        <v/>
      </c>
    </row>
    <row r="407" spans="1:13" ht="15.75" customHeight="1">
      <c r="A407" s="523" t="s">
        <v>386</v>
      </c>
      <c r="B407" s="474" t="s">
        <v>2317</v>
      </c>
      <c r="C407" s="523" t="s">
        <v>2318</v>
      </c>
      <c r="D407" s="453" t="str">
        <f t="shared" si="17"/>
        <v>GEO Georgien</v>
      </c>
      <c r="E407" s="524" t="s">
        <v>2319</v>
      </c>
      <c r="F407" s="454" t="s">
        <v>2320</v>
      </c>
      <c r="G407" s="460" t="s">
        <v>2320</v>
      </c>
      <c r="H407" s="454" t="s">
        <v>385</v>
      </c>
      <c r="I407" s="454" t="s">
        <v>2321</v>
      </c>
      <c r="J407" s="454" t="str">
        <f t="shared" si="13"/>
        <v>[pt]Georgien</v>
      </c>
      <c r="K407" s="454" t="str">
        <f t="shared" si="14"/>
        <v>[gr]Georgien</v>
      </c>
      <c r="L407" s="525" t="s">
        <v>386</v>
      </c>
      <c r="M407" s="455" t="str">
        <f t="shared" si="18"/>
        <v/>
      </c>
    </row>
    <row r="408" spans="1:13" ht="15.75" customHeight="1">
      <c r="A408" s="523" t="s">
        <v>388</v>
      </c>
      <c r="B408" s="474" t="s">
        <v>2322</v>
      </c>
      <c r="C408" s="523" t="s">
        <v>2323</v>
      </c>
      <c r="D408" s="453" t="str">
        <f t="shared" si="17"/>
        <v>GHA Ghana</v>
      </c>
      <c r="E408" s="524" t="s">
        <v>387</v>
      </c>
      <c r="F408" s="454" t="s">
        <v>2324</v>
      </c>
      <c r="G408" s="460" t="s">
        <v>2324</v>
      </c>
      <c r="H408" s="454" t="s">
        <v>387</v>
      </c>
      <c r="I408" s="454" t="s">
        <v>387</v>
      </c>
      <c r="J408" s="454" t="str">
        <f t="shared" si="13"/>
        <v>[pt]Ghana</v>
      </c>
      <c r="K408" s="454" t="str">
        <f t="shared" si="14"/>
        <v>[gr]Ghana</v>
      </c>
      <c r="L408" s="525" t="s">
        <v>388</v>
      </c>
      <c r="M408" s="455" t="str">
        <f t="shared" si="18"/>
        <v/>
      </c>
    </row>
    <row r="409" spans="1:13" ht="15.75" customHeight="1">
      <c r="A409" s="523" t="s">
        <v>390</v>
      </c>
      <c r="B409" s="474" t="s">
        <v>2325</v>
      </c>
      <c r="C409" s="523" t="s">
        <v>2326</v>
      </c>
      <c r="D409" s="453" t="str">
        <f t="shared" si="17"/>
        <v>GIB Gibraltar</v>
      </c>
      <c r="E409" s="524" t="s">
        <v>389</v>
      </c>
      <c r="F409" s="454" t="s">
        <v>2327</v>
      </c>
      <c r="G409" s="460" t="s">
        <v>2328</v>
      </c>
      <c r="H409" s="454" t="s">
        <v>389</v>
      </c>
      <c r="I409" s="454" t="s">
        <v>2329</v>
      </c>
      <c r="J409" s="454" t="str">
        <f t="shared" si="13"/>
        <v>[pt]Gibraltar</v>
      </c>
      <c r="K409" s="454" t="str">
        <f t="shared" si="14"/>
        <v>[gr]Gibraltar</v>
      </c>
      <c r="L409" s="525" t="s">
        <v>390</v>
      </c>
      <c r="M409" s="455" t="str">
        <f t="shared" si="18"/>
        <v/>
      </c>
    </row>
    <row r="410" spans="1:13" ht="15.75" customHeight="1">
      <c r="A410" s="523" t="s">
        <v>392</v>
      </c>
      <c r="B410" s="474" t="s">
        <v>2330</v>
      </c>
      <c r="C410" s="523" t="s">
        <v>2331</v>
      </c>
      <c r="D410" s="453" t="str">
        <f t="shared" si="17"/>
        <v>GIN Guinea</v>
      </c>
      <c r="E410" s="524" t="s">
        <v>391</v>
      </c>
      <c r="F410" s="454" t="s">
        <v>2332</v>
      </c>
      <c r="G410" s="460" t="s">
        <v>2332</v>
      </c>
      <c r="H410" s="454" t="s">
        <v>391</v>
      </c>
      <c r="I410" s="454" t="s">
        <v>2333</v>
      </c>
      <c r="J410" s="454" t="str">
        <f t="shared" si="13"/>
        <v>[pt]Guinea</v>
      </c>
      <c r="K410" s="454" t="str">
        <f t="shared" si="14"/>
        <v>[gr]Guinea</v>
      </c>
      <c r="L410" s="525" t="s">
        <v>392</v>
      </c>
      <c r="M410" s="455" t="str">
        <f t="shared" si="18"/>
        <v/>
      </c>
    </row>
    <row r="411" spans="1:13" ht="15.75" customHeight="1">
      <c r="A411" s="523" t="s">
        <v>394</v>
      </c>
      <c r="B411" s="474" t="s">
        <v>2334</v>
      </c>
      <c r="C411" s="523" t="s">
        <v>2335</v>
      </c>
      <c r="D411" s="453" t="str">
        <f t="shared" si="17"/>
        <v>GMB Gambia</v>
      </c>
      <c r="E411" s="524" t="s">
        <v>2336</v>
      </c>
      <c r="F411" s="454" t="s">
        <v>2337</v>
      </c>
      <c r="G411" s="460" t="s">
        <v>2337</v>
      </c>
      <c r="H411" s="454" t="s">
        <v>2336</v>
      </c>
      <c r="I411" s="454" t="s">
        <v>2338</v>
      </c>
      <c r="J411" s="454" t="str">
        <f t="shared" si="13"/>
        <v>[pt]Gambia</v>
      </c>
      <c r="K411" s="454" t="str">
        <f t="shared" si="14"/>
        <v>[gr]Gambia</v>
      </c>
      <c r="L411" s="525" t="s">
        <v>394</v>
      </c>
      <c r="M411" s="455" t="str">
        <f t="shared" si="18"/>
        <v/>
      </c>
    </row>
    <row r="412" spans="1:13" ht="28.5" customHeight="1">
      <c r="A412" s="523" t="s">
        <v>396</v>
      </c>
      <c r="B412" s="474" t="s">
        <v>2339</v>
      </c>
      <c r="C412" s="523" t="s">
        <v>2340</v>
      </c>
      <c r="D412" s="453" t="str">
        <f t="shared" si="17"/>
        <v>GNB Guinea-Bissau</v>
      </c>
      <c r="E412" s="524" t="s">
        <v>395</v>
      </c>
      <c r="F412" s="454" t="s">
        <v>2341</v>
      </c>
      <c r="G412" s="460" t="s">
        <v>2341</v>
      </c>
      <c r="H412" s="454" t="s">
        <v>2342</v>
      </c>
      <c r="I412" s="454" t="s">
        <v>2343</v>
      </c>
      <c r="J412" s="454" t="str">
        <f t="shared" si="13"/>
        <v>[pt]Guinea-Bissau</v>
      </c>
      <c r="K412" s="454" t="str">
        <f t="shared" si="14"/>
        <v>[gr]Guinea-Bissau</v>
      </c>
      <c r="L412" s="525" t="s">
        <v>396</v>
      </c>
      <c r="M412" s="455" t="str">
        <f t="shared" si="18"/>
        <v/>
      </c>
    </row>
    <row r="413" spans="1:13" ht="15.75" customHeight="1">
      <c r="A413" s="523" t="s">
        <v>398</v>
      </c>
      <c r="B413" s="474" t="s">
        <v>2344</v>
      </c>
      <c r="C413" s="523" t="s">
        <v>2345</v>
      </c>
      <c r="D413" s="453" t="str">
        <f t="shared" si="17"/>
        <v>GNQ Äquatorialguinea</v>
      </c>
      <c r="E413" s="524" t="s">
        <v>2346</v>
      </c>
      <c r="F413" s="454" t="s">
        <v>2347</v>
      </c>
      <c r="G413" s="460" t="s">
        <v>2348</v>
      </c>
      <c r="H413" s="454" t="s">
        <v>2349</v>
      </c>
      <c r="I413" s="454" t="s">
        <v>2350</v>
      </c>
      <c r="J413" s="454" t="str">
        <f t="shared" si="13"/>
        <v>[pt]Äquatorialguinea</v>
      </c>
      <c r="K413" s="454" t="str">
        <f t="shared" si="14"/>
        <v>[gr]Äquatorialguinea</v>
      </c>
      <c r="L413" s="525" t="s">
        <v>398</v>
      </c>
      <c r="M413" s="455" t="str">
        <f t="shared" si="18"/>
        <v/>
      </c>
    </row>
    <row r="414" spans="1:13" ht="15.75" customHeight="1">
      <c r="A414" s="523" t="s">
        <v>400</v>
      </c>
      <c r="B414" s="474" t="s">
        <v>2351</v>
      </c>
      <c r="C414" s="523" t="s">
        <v>2352</v>
      </c>
      <c r="D414" s="453" t="str">
        <f t="shared" si="17"/>
        <v>GRC Griechenland</v>
      </c>
      <c r="E414" s="524" t="s">
        <v>2353</v>
      </c>
      <c r="F414" s="454" t="s">
        <v>2354</v>
      </c>
      <c r="G414" s="460" t="s">
        <v>2355</v>
      </c>
      <c r="H414" s="454" t="s">
        <v>2356</v>
      </c>
      <c r="I414" s="454" t="s">
        <v>2357</v>
      </c>
      <c r="J414" s="454" t="str">
        <f t="shared" si="13"/>
        <v>[pt]Griechenland</v>
      </c>
      <c r="K414" s="454" t="str">
        <f t="shared" si="14"/>
        <v>[gr]Griechenland</v>
      </c>
      <c r="L414" s="525" t="s">
        <v>400</v>
      </c>
      <c r="M414" s="455" t="str">
        <f t="shared" si="18"/>
        <v/>
      </c>
    </row>
    <row r="415" spans="1:13" ht="15.75" customHeight="1">
      <c r="A415" s="523" t="s">
        <v>402</v>
      </c>
      <c r="B415" s="474" t="s">
        <v>2358</v>
      </c>
      <c r="C415" s="523" t="s">
        <v>2359</v>
      </c>
      <c r="D415" s="453" t="str">
        <f t="shared" si="17"/>
        <v>GRD Grenada</v>
      </c>
      <c r="E415" s="524" t="s">
        <v>401</v>
      </c>
      <c r="F415" s="454" t="s">
        <v>2360</v>
      </c>
      <c r="G415" s="460" t="s">
        <v>2360</v>
      </c>
      <c r="H415" s="454" t="s">
        <v>2361</v>
      </c>
      <c r="I415" s="454" t="s">
        <v>2362</v>
      </c>
      <c r="J415" s="454" t="str">
        <f t="shared" si="13"/>
        <v>[pt]Grenada</v>
      </c>
      <c r="K415" s="454" t="str">
        <f t="shared" si="14"/>
        <v>[gr]Grenada</v>
      </c>
      <c r="L415" s="525" t="s">
        <v>402</v>
      </c>
      <c r="M415" s="455" t="str">
        <f t="shared" si="18"/>
        <v/>
      </c>
    </row>
    <row r="416" spans="1:13" ht="15.75" customHeight="1">
      <c r="A416" s="523" t="s">
        <v>404</v>
      </c>
      <c r="B416" s="474" t="s">
        <v>2363</v>
      </c>
      <c r="C416" s="523" t="s">
        <v>2364</v>
      </c>
      <c r="D416" s="453" t="str">
        <f t="shared" si="17"/>
        <v>GRL Grönland</v>
      </c>
      <c r="E416" s="524" t="s">
        <v>2365</v>
      </c>
      <c r="F416" s="454" t="s">
        <v>2366</v>
      </c>
      <c r="G416" s="460" t="s">
        <v>2367</v>
      </c>
      <c r="H416" s="454" t="s">
        <v>2368</v>
      </c>
      <c r="I416" s="454" t="s">
        <v>2369</v>
      </c>
      <c r="J416" s="454" t="str">
        <f t="shared" si="13"/>
        <v>[pt]Grönland</v>
      </c>
      <c r="K416" s="454" t="str">
        <f t="shared" si="14"/>
        <v>[gr]Grönland</v>
      </c>
      <c r="L416" s="525" t="s">
        <v>404</v>
      </c>
      <c r="M416" s="455" t="str">
        <f t="shared" si="18"/>
        <v/>
      </c>
    </row>
    <row r="417" spans="1:13" ht="15.75" customHeight="1">
      <c r="A417" s="523" t="s">
        <v>406</v>
      </c>
      <c r="B417" s="474" t="s">
        <v>2370</v>
      </c>
      <c r="C417" s="523" t="s">
        <v>2371</v>
      </c>
      <c r="D417" s="453" t="str">
        <f t="shared" si="17"/>
        <v>GTM Guatemala</v>
      </c>
      <c r="E417" s="524" t="s">
        <v>405</v>
      </c>
      <c r="F417" s="454" t="s">
        <v>2372</v>
      </c>
      <c r="G417" s="460" t="s">
        <v>2372</v>
      </c>
      <c r="H417" s="454" t="s">
        <v>405</v>
      </c>
      <c r="I417" s="454" t="s">
        <v>2373</v>
      </c>
      <c r="J417" s="454" t="str">
        <f t="shared" si="13"/>
        <v>[pt]Guatemala</v>
      </c>
      <c r="K417" s="454" t="str">
        <f t="shared" si="14"/>
        <v>[gr]Guatemala</v>
      </c>
      <c r="L417" s="525" t="s">
        <v>406</v>
      </c>
      <c r="M417" s="455" t="str">
        <f t="shared" si="18"/>
        <v/>
      </c>
    </row>
    <row r="418" spans="1:13" ht="15.75" customHeight="1">
      <c r="A418" s="523" t="s">
        <v>408</v>
      </c>
      <c r="B418" s="474" t="s">
        <v>2374</v>
      </c>
      <c r="C418" s="523" t="s">
        <v>2375</v>
      </c>
      <c r="D418" s="453" t="str">
        <f t="shared" si="17"/>
        <v>GUM Guam</v>
      </c>
      <c r="E418" s="524" t="s">
        <v>407</v>
      </c>
      <c r="F418" s="454" t="s">
        <v>2376</v>
      </c>
      <c r="G418" s="460" t="s">
        <v>2376</v>
      </c>
      <c r="H418" s="454" t="s">
        <v>407</v>
      </c>
      <c r="I418" s="454" t="s">
        <v>407</v>
      </c>
      <c r="J418" s="454" t="str">
        <f t="shared" si="13"/>
        <v>[pt]Guam</v>
      </c>
      <c r="K418" s="454" t="str">
        <f t="shared" si="14"/>
        <v>[gr]Guam</v>
      </c>
      <c r="L418" s="525" t="s">
        <v>408</v>
      </c>
      <c r="M418" s="455" t="str">
        <f t="shared" si="18"/>
        <v/>
      </c>
    </row>
    <row r="419" spans="1:13" ht="15.75" customHeight="1">
      <c r="A419" s="523" t="s">
        <v>410</v>
      </c>
      <c r="B419" s="474" t="s">
        <v>2377</v>
      </c>
      <c r="C419" s="523" t="s">
        <v>2378</v>
      </c>
      <c r="D419" s="453" t="str">
        <f t="shared" si="17"/>
        <v>GUY Guyana</v>
      </c>
      <c r="E419" s="524" t="s">
        <v>409</v>
      </c>
      <c r="F419" s="454" t="s">
        <v>2379</v>
      </c>
      <c r="G419" s="460" t="s">
        <v>2379</v>
      </c>
      <c r="H419" s="454" t="s">
        <v>409</v>
      </c>
      <c r="I419" s="454" t="s">
        <v>2380</v>
      </c>
      <c r="J419" s="454" t="str">
        <f t="shared" si="13"/>
        <v>[pt]Guyana</v>
      </c>
      <c r="K419" s="454" t="str">
        <f t="shared" si="14"/>
        <v>[gr]Guyana</v>
      </c>
      <c r="L419" s="525" t="s">
        <v>410</v>
      </c>
      <c r="M419" s="455" t="str">
        <f t="shared" si="18"/>
        <v/>
      </c>
    </row>
    <row r="420" spans="1:13" ht="15.75" customHeight="1">
      <c r="A420" s="523" t="s">
        <v>412</v>
      </c>
      <c r="B420" s="474" t="s">
        <v>2381</v>
      </c>
      <c r="C420" s="523" t="s">
        <v>2382</v>
      </c>
      <c r="D420" s="453" t="str">
        <f t="shared" si="17"/>
        <v>HKG Hongkong</v>
      </c>
      <c r="E420" s="524" t="s">
        <v>2383</v>
      </c>
      <c r="F420" s="454" t="s">
        <v>2384</v>
      </c>
      <c r="G420" s="460" t="s">
        <v>2384</v>
      </c>
      <c r="H420" s="454" t="s">
        <v>2385</v>
      </c>
      <c r="I420" s="454" t="s">
        <v>2385</v>
      </c>
      <c r="J420" s="454" t="str">
        <f t="shared" si="13"/>
        <v>[pt]Hongkong</v>
      </c>
      <c r="K420" s="454" t="str">
        <f t="shared" si="14"/>
        <v>[gr]Hongkong</v>
      </c>
      <c r="L420" s="525" t="s">
        <v>412</v>
      </c>
      <c r="M420" s="455" t="str">
        <f t="shared" si="18"/>
        <v/>
      </c>
    </row>
    <row r="421" spans="1:13" ht="15.75" customHeight="1">
      <c r="A421" s="523" t="s">
        <v>414</v>
      </c>
      <c r="B421" s="474" t="s">
        <v>2386</v>
      </c>
      <c r="C421" s="523" t="s">
        <v>2387</v>
      </c>
      <c r="D421" s="453" t="str">
        <f t="shared" si="17"/>
        <v>HND Honduras</v>
      </c>
      <c r="E421" s="524" t="s">
        <v>413</v>
      </c>
      <c r="F421" s="454" t="s">
        <v>2388</v>
      </c>
      <c r="G421" s="460" t="s">
        <v>2388</v>
      </c>
      <c r="H421" s="454" t="s">
        <v>413</v>
      </c>
      <c r="I421" s="454" t="s">
        <v>413</v>
      </c>
      <c r="J421" s="454" t="str">
        <f t="shared" si="13"/>
        <v>[pt]Honduras</v>
      </c>
      <c r="K421" s="454" t="str">
        <f t="shared" si="14"/>
        <v>[gr]Honduras</v>
      </c>
      <c r="L421" s="525" t="s">
        <v>414</v>
      </c>
      <c r="M421" s="455" t="str">
        <f t="shared" si="18"/>
        <v/>
      </c>
    </row>
    <row r="422" spans="1:13" ht="15.75" customHeight="1">
      <c r="A422" s="523" t="s">
        <v>416</v>
      </c>
      <c r="B422" s="474" t="s">
        <v>2389</v>
      </c>
      <c r="C422" s="523" t="s">
        <v>2390</v>
      </c>
      <c r="D422" s="453" t="str">
        <f t="shared" si="17"/>
        <v>HRV Kroatien</v>
      </c>
      <c r="E422" s="524" t="s">
        <v>2391</v>
      </c>
      <c r="F422" s="454" t="s">
        <v>2392</v>
      </c>
      <c r="G422" s="460" t="s">
        <v>2393</v>
      </c>
      <c r="H422" s="454" t="s">
        <v>2394</v>
      </c>
      <c r="I422" s="454" t="s">
        <v>2395</v>
      </c>
      <c r="J422" s="454" t="str">
        <f t="shared" si="13"/>
        <v>[pt]Kroatien</v>
      </c>
      <c r="K422" s="454" t="str">
        <f t="shared" si="14"/>
        <v>[gr]Kroatien</v>
      </c>
      <c r="L422" s="525" t="s">
        <v>416</v>
      </c>
      <c r="M422" s="455" t="str">
        <f t="shared" si="18"/>
        <v/>
      </c>
    </row>
    <row r="423" spans="1:13" ht="15.75" customHeight="1">
      <c r="A423" s="523" t="s">
        <v>418</v>
      </c>
      <c r="B423" s="474" t="s">
        <v>2396</v>
      </c>
      <c r="C423" s="523" t="s">
        <v>2397</v>
      </c>
      <c r="D423" s="453" t="str">
        <f t="shared" si="17"/>
        <v>HTI Haiti</v>
      </c>
      <c r="E423" s="524" t="s">
        <v>417</v>
      </c>
      <c r="F423" s="454" t="s">
        <v>2398</v>
      </c>
      <c r="G423" s="460" t="s">
        <v>2398</v>
      </c>
      <c r="H423" s="454" t="s">
        <v>2399</v>
      </c>
      <c r="I423" s="454" t="s">
        <v>2400</v>
      </c>
      <c r="J423" s="454" t="str">
        <f t="shared" si="13"/>
        <v>[pt]Haiti</v>
      </c>
      <c r="K423" s="454" t="str">
        <f t="shared" si="14"/>
        <v>[gr]Haiti</v>
      </c>
      <c r="L423" s="525" t="s">
        <v>418</v>
      </c>
      <c r="M423" s="455" t="str">
        <f t="shared" si="18"/>
        <v/>
      </c>
    </row>
    <row r="424" spans="1:13" ht="15.75" customHeight="1">
      <c r="A424" s="523" t="s">
        <v>420</v>
      </c>
      <c r="B424" s="474" t="s">
        <v>2401</v>
      </c>
      <c r="C424" s="523" t="s">
        <v>2402</v>
      </c>
      <c r="D424" s="453" t="str">
        <f t="shared" si="17"/>
        <v>HUN Ungarn</v>
      </c>
      <c r="E424" s="524" t="s">
        <v>2403</v>
      </c>
      <c r="F424" s="454" t="s">
        <v>2404</v>
      </c>
      <c r="G424" s="460" t="s">
        <v>2405</v>
      </c>
      <c r="H424" s="454" t="s">
        <v>2406</v>
      </c>
      <c r="I424" s="454" t="s">
        <v>2407</v>
      </c>
      <c r="J424" s="454" t="str">
        <f t="shared" si="13"/>
        <v>[pt]Ungarn</v>
      </c>
      <c r="K424" s="454" t="str">
        <f t="shared" si="14"/>
        <v>[gr]Ungarn</v>
      </c>
      <c r="L424" s="525" t="s">
        <v>420</v>
      </c>
      <c r="M424" s="455" t="str">
        <f t="shared" si="18"/>
        <v/>
      </c>
    </row>
    <row r="425" spans="1:13" ht="15.75" customHeight="1">
      <c r="A425" s="523" t="s">
        <v>422</v>
      </c>
      <c r="B425" s="474" t="s">
        <v>2408</v>
      </c>
      <c r="C425" s="523" t="s">
        <v>2409</v>
      </c>
      <c r="D425" s="453" t="str">
        <f t="shared" si="17"/>
        <v>IDN Indonesien</v>
      </c>
      <c r="E425" s="524" t="s">
        <v>2410</v>
      </c>
      <c r="F425" s="454" t="s">
        <v>2411</v>
      </c>
      <c r="G425" s="526" t="s">
        <v>2411</v>
      </c>
      <c r="H425" s="526" t="s">
        <v>421</v>
      </c>
      <c r="I425" s="526" t="s">
        <v>2412</v>
      </c>
      <c r="J425" s="454" t="str">
        <f t="shared" si="13"/>
        <v>[pt]Indonesien</v>
      </c>
      <c r="K425" s="454" t="str">
        <f t="shared" si="14"/>
        <v>[gr]Indonesien</v>
      </c>
      <c r="L425" s="525" t="s">
        <v>422</v>
      </c>
      <c r="M425" s="455" t="str">
        <f t="shared" si="18"/>
        <v/>
      </c>
    </row>
    <row r="426" spans="1:13" ht="15.75" customHeight="1">
      <c r="A426" s="523" t="s">
        <v>424</v>
      </c>
      <c r="B426" s="474" t="s">
        <v>2413</v>
      </c>
      <c r="C426" s="523" t="s">
        <v>2414</v>
      </c>
      <c r="D426" s="453" t="str">
        <f t="shared" si="17"/>
        <v>IMN Insel Man</v>
      </c>
      <c r="E426" s="451" t="s">
        <v>2415</v>
      </c>
      <c r="F426" s="454" t="s">
        <v>2416</v>
      </c>
      <c r="G426" s="451" t="s">
        <v>2417</v>
      </c>
      <c r="H426" s="451" t="s">
        <v>2418</v>
      </c>
      <c r="I426" s="451" t="s">
        <v>2419</v>
      </c>
      <c r="J426" s="454" t="str">
        <f t="shared" si="13"/>
        <v>[pt]Insel Man</v>
      </c>
      <c r="K426" s="454" t="str">
        <f t="shared" si="14"/>
        <v>[gr]Insel Man</v>
      </c>
      <c r="L426" s="525" t="s">
        <v>424</v>
      </c>
      <c r="M426" s="455" t="str">
        <f t="shared" si="18"/>
        <v/>
      </c>
    </row>
    <row r="427" spans="1:13" ht="15.75" customHeight="1">
      <c r="A427" s="523" t="s">
        <v>426</v>
      </c>
      <c r="B427" s="474" t="s">
        <v>2420</v>
      </c>
      <c r="C427" s="523" t="s">
        <v>2421</v>
      </c>
      <c r="D427" s="453" t="str">
        <f t="shared" si="17"/>
        <v>IND Indien</v>
      </c>
      <c r="E427" s="451" t="s">
        <v>2422</v>
      </c>
      <c r="F427" s="454" t="s">
        <v>2423</v>
      </c>
      <c r="G427" s="451" t="s">
        <v>2423</v>
      </c>
      <c r="H427" s="451" t="s">
        <v>425</v>
      </c>
      <c r="I427" s="451" t="s">
        <v>2424</v>
      </c>
      <c r="J427" s="454" t="str">
        <f t="shared" si="13"/>
        <v>[pt]Indien</v>
      </c>
      <c r="K427" s="454" t="str">
        <f t="shared" si="14"/>
        <v>[gr]Indien</v>
      </c>
      <c r="L427" s="525" t="s">
        <v>426</v>
      </c>
      <c r="M427" s="455" t="str">
        <f t="shared" si="18"/>
        <v/>
      </c>
    </row>
    <row r="428" spans="1:13" ht="15.75" customHeight="1">
      <c r="A428" s="523" t="s">
        <v>428</v>
      </c>
      <c r="B428" s="474" t="s">
        <v>2425</v>
      </c>
      <c r="C428" s="523" t="s">
        <v>2426</v>
      </c>
      <c r="D428" s="453" t="str">
        <f t="shared" si="17"/>
        <v>IRL Irland</v>
      </c>
      <c r="E428" s="524" t="s">
        <v>2427</v>
      </c>
      <c r="F428" s="454" t="s">
        <v>2428</v>
      </c>
      <c r="G428" s="526" t="s">
        <v>2429</v>
      </c>
      <c r="H428" s="526" t="s">
        <v>2430</v>
      </c>
      <c r="I428" s="526" t="s">
        <v>2431</v>
      </c>
      <c r="J428" s="454" t="str">
        <f t="shared" si="13"/>
        <v>[pt]Irland</v>
      </c>
      <c r="K428" s="454" t="str">
        <f t="shared" si="14"/>
        <v>[gr]Irland</v>
      </c>
      <c r="L428" s="525" t="s">
        <v>428</v>
      </c>
      <c r="M428" s="455" t="str">
        <f t="shared" si="18"/>
        <v/>
      </c>
    </row>
    <row r="429" spans="1:13" ht="15.75" customHeight="1">
      <c r="A429" s="523" t="s">
        <v>430</v>
      </c>
      <c r="B429" s="474" t="s">
        <v>2432</v>
      </c>
      <c r="C429" s="523" t="s">
        <v>2433</v>
      </c>
      <c r="D429" s="453" t="str">
        <f t="shared" si="17"/>
        <v>IRN Iran, Islamische Republik</v>
      </c>
      <c r="E429" s="451" t="s">
        <v>2434</v>
      </c>
      <c r="F429" s="454" t="s">
        <v>2435</v>
      </c>
      <c r="G429" s="451" t="s">
        <v>2436</v>
      </c>
      <c r="H429" s="451" t="s">
        <v>2437</v>
      </c>
      <c r="I429" s="451" t="s">
        <v>2438</v>
      </c>
      <c r="J429" s="454" t="str">
        <f t="shared" si="13"/>
        <v>[pt]Iran, Islamische Republik</v>
      </c>
      <c r="K429" s="454" t="str">
        <f t="shared" si="14"/>
        <v>[gr]Iran, Islamische Republik</v>
      </c>
      <c r="L429" s="525" t="s">
        <v>430</v>
      </c>
      <c r="M429" s="455" t="str">
        <f t="shared" si="18"/>
        <v/>
      </c>
    </row>
    <row r="430" spans="1:13" ht="15.75" customHeight="1">
      <c r="A430" s="523" t="s">
        <v>432</v>
      </c>
      <c r="B430" s="474" t="s">
        <v>2439</v>
      </c>
      <c r="C430" s="523" t="s">
        <v>2440</v>
      </c>
      <c r="D430" s="453" t="str">
        <f t="shared" si="17"/>
        <v>IRQ Irak</v>
      </c>
      <c r="E430" s="451" t="s">
        <v>2441</v>
      </c>
      <c r="F430" s="454" t="s">
        <v>2442</v>
      </c>
      <c r="G430" s="451" t="s">
        <v>2442</v>
      </c>
      <c r="H430" s="451" t="s">
        <v>2441</v>
      </c>
      <c r="I430" s="451" t="s">
        <v>2441</v>
      </c>
      <c r="J430" s="454" t="str">
        <f t="shared" si="13"/>
        <v>[pt]Irak</v>
      </c>
      <c r="K430" s="454" t="str">
        <f t="shared" si="14"/>
        <v>[gr]Irak</v>
      </c>
      <c r="L430" s="525" t="s">
        <v>432</v>
      </c>
      <c r="M430" s="455" t="str">
        <f t="shared" si="18"/>
        <v/>
      </c>
    </row>
    <row r="431" spans="1:13" ht="15.75" customHeight="1">
      <c r="A431" s="523" t="s">
        <v>434</v>
      </c>
      <c r="B431" s="474" t="s">
        <v>2443</v>
      </c>
      <c r="C431" s="523" t="s">
        <v>2444</v>
      </c>
      <c r="D431" s="453" t="str">
        <f t="shared" si="17"/>
        <v>ISL Island</v>
      </c>
      <c r="E431" s="451" t="s">
        <v>2445</v>
      </c>
      <c r="F431" s="454" t="s">
        <v>2446</v>
      </c>
      <c r="G431" s="451" t="s">
        <v>2447</v>
      </c>
      <c r="H431" s="451" t="s">
        <v>2448</v>
      </c>
      <c r="I431" s="451" t="s">
        <v>2449</v>
      </c>
      <c r="J431" s="454" t="str">
        <f t="shared" si="13"/>
        <v>[pt]Island</v>
      </c>
      <c r="K431" s="454" t="str">
        <f t="shared" si="14"/>
        <v>[gr]Island</v>
      </c>
      <c r="L431" s="525" t="s">
        <v>434</v>
      </c>
      <c r="M431" s="455" t="str">
        <f t="shared" si="18"/>
        <v/>
      </c>
    </row>
    <row r="432" spans="1:13" ht="15.75" customHeight="1">
      <c r="A432" s="523" t="s">
        <v>436</v>
      </c>
      <c r="B432" s="474" t="s">
        <v>2450</v>
      </c>
      <c r="C432" s="523" t="s">
        <v>2451</v>
      </c>
      <c r="D432" s="453" t="str">
        <f t="shared" si="17"/>
        <v>ISR Israel</v>
      </c>
      <c r="E432" s="451" t="s">
        <v>435</v>
      </c>
      <c r="F432" s="454" t="s">
        <v>2452</v>
      </c>
      <c r="G432" s="451" t="s">
        <v>2453</v>
      </c>
      <c r="H432" s="451" t="s">
        <v>435</v>
      </c>
      <c r="I432" s="451" t="s">
        <v>2454</v>
      </c>
      <c r="J432" s="454" t="str">
        <f t="shared" si="13"/>
        <v>[pt]Israel</v>
      </c>
      <c r="K432" s="454" t="str">
        <f t="shared" si="14"/>
        <v>[gr]Israel</v>
      </c>
      <c r="L432" s="525" t="s">
        <v>436</v>
      </c>
      <c r="M432" s="455" t="str">
        <f t="shared" si="18"/>
        <v/>
      </c>
    </row>
    <row r="433" spans="1:13" ht="15.75" customHeight="1">
      <c r="A433" s="523" t="s">
        <v>438</v>
      </c>
      <c r="B433" s="474" t="s">
        <v>2455</v>
      </c>
      <c r="C433" s="523" t="s">
        <v>2456</v>
      </c>
      <c r="D433" s="453" t="str">
        <f t="shared" si="17"/>
        <v>ITA Italien</v>
      </c>
      <c r="E433" s="451" t="s">
        <v>2457</v>
      </c>
      <c r="F433" s="454" t="s">
        <v>2458</v>
      </c>
      <c r="G433" s="451" t="s">
        <v>2459</v>
      </c>
      <c r="H433" s="451" t="s">
        <v>2460</v>
      </c>
      <c r="I433" s="451" t="s">
        <v>2461</v>
      </c>
      <c r="J433" s="454" t="str">
        <f t="shared" si="13"/>
        <v>[pt]Italien</v>
      </c>
      <c r="K433" s="454" t="str">
        <f t="shared" si="14"/>
        <v>[gr]Italien</v>
      </c>
      <c r="L433" s="525" t="s">
        <v>438</v>
      </c>
      <c r="M433" s="455" t="str">
        <f t="shared" si="18"/>
        <v/>
      </c>
    </row>
    <row r="434" spans="1:13" ht="15.75" customHeight="1">
      <c r="A434" s="523" t="s">
        <v>440</v>
      </c>
      <c r="B434" s="474" t="s">
        <v>2462</v>
      </c>
      <c r="C434" s="523" t="s">
        <v>2463</v>
      </c>
      <c r="D434" s="453" t="str">
        <f t="shared" si="17"/>
        <v>JAM Jamaika</v>
      </c>
      <c r="E434" s="451" t="s">
        <v>2464</v>
      </c>
      <c r="F434" s="454" t="s">
        <v>2465</v>
      </c>
      <c r="G434" s="451" t="s">
        <v>2466</v>
      </c>
      <c r="H434" s="451" t="s">
        <v>439</v>
      </c>
      <c r="I434" s="451" t="s">
        <v>2467</v>
      </c>
      <c r="J434" s="454" t="str">
        <f t="shared" si="13"/>
        <v>[pt]Jamaika</v>
      </c>
      <c r="K434" s="454" t="str">
        <f t="shared" si="14"/>
        <v>[gr]Jamaika</v>
      </c>
      <c r="L434" s="525" t="s">
        <v>440</v>
      </c>
      <c r="M434" s="455" t="str">
        <f t="shared" si="18"/>
        <v/>
      </c>
    </row>
    <row r="435" spans="1:13" ht="15.75" customHeight="1">
      <c r="A435" s="523" t="s">
        <v>442</v>
      </c>
      <c r="B435" s="474" t="s">
        <v>2468</v>
      </c>
      <c r="C435" s="523" t="s">
        <v>2469</v>
      </c>
      <c r="D435" s="453" t="str">
        <f t="shared" si="17"/>
        <v>JOR Jordanien</v>
      </c>
      <c r="E435" s="451" t="s">
        <v>2470</v>
      </c>
      <c r="F435" s="454" t="s">
        <v>2471</v>
      </c>
      <c r="G435" s="451" t="s">
        <v>2472</v>
      </c>
      <c r="H435" s="451" t="s">
        <v>2473</v>
      </c>
      <c r="I435" s="451" t="s">
        <v>2474</v>
      </c>
      <c r="J435" s="454" t="str">
        <f t="shared" si="13"/>
        <v>[pt]Jordanien</v>
      </c>
      <c r="K435" s="454" t="str">
        <f t="shared" si="14"/>
        <v>[gr]Jordanien</v>
      </c>
      <c r="L435" s="525" t="s">
        <v>442</v>
      </c>
      <c r="M435" s="455" t="str">
        <f t="shared" si="18"/>
        <v/>
      </c>
    </row>
    <row r="436" spans="1:13" ht="15.75" customHeight="1">
      <c r="A436" s="523" t="s">
        <v>444</v>
      </c>
      <c r="B436" s="474" t="s">
        <v>2475</v>
      </c>
      <c r="C436" s="523" t="s">
        <v>2476</v>
      </c>
      <c r="D436" s="453" t="str">
        <f t="shared" si="17"/>
        <v>JPN Japan</v>
      </c>
      <c r="E436" s="451" t="s">
        <v>443</v>
      </c>
      <c r="F436" s="454" t="s">
        <v>2477</v>
      </c>
      <c r="G436" s="451" t="s">
        <v>2478</v>
      </c>
      <c r="H436" s="451" t="s">
        <v>2479</v>
      </c>
      <c r="I436" s="451" t="s">
        <v>2480</v>
      </c>
      <c r="J436" s="454" t="str">
        <f t="shared" si="13"/>
        <v>[pt]Japan</v>
      </c>
      <c r="K436" s="454" t="str">
        <f t="shared" si="14"/>
        <v>[gr]Japan</v>
      </c>
      <c r="L436" s="525" t="s">
        <v>444</v>
      </c>
      <c r="M436" s="455" t="str">
        <f t="shared" si="18"/>
        <v/>
      </c>
    </row>
    <row r="437" spans="1:13" ht="15.75" customHeight="1">
      <c r="A437" s="523" t="s">
        <v>446</v>
      </c>
      <c r="B437" s="474" t="s">
        <v>2481</v>
      </c>
      <c r="C437" s="523" t="s">
        <v>2482</v>
      </c>
      <c r="D437" s="453" t="str">
        <f t="shared" si="17"/>
        <v>KAZ Kasachstan</v>
      </c>
      <c r="E437" s="451" t="s">
        <v>2483</v>
      </c>
      <c r="F437" s="454" t="s">
        <v>2484</v>
      </c>
      <c r="G437" s="451" t="s">
        <v>2485</v>
      </c>
      <c r="H437" s="451" t="s">
        <v>2486</v>
      </c>
      <c r="I437" s="451" t="s">
        <v>445</v>
      </c>
      <c r="J437" s="454" t="str">
        <f t="shared" si="13"/>
        <v>[pt]Kasachstan</v>
      </c>
      <c r="K437" s="454" t="str">
        <f t="shared" si="14"/>
        <v>[gr]Kasachstan</v>
      </c>
      <c r="L437" s="525" t="s">
        <v>446</v>
      </c>
      <c r="M437" s="455" t="str">
        <f t="shared" si="18"/>
        <v/>
      </c>
    </row>
    <row r="438" spans="1:13" ht="15.75" customHeight="1">
      <c r="A438" s="523" t="s">
        <v>448</v>
      </c>
      <c r="B438" s="474" t="s">
        <v>2487</v>
      </c>
      <c r="C438" s="523" t="s">
        <v>2488</v>
      </c>
      <c r="D438" s="453" t="str">
        <f t="shared" si="17"/>
        <v>KEN Kenia</v>
      </c>
      <c r="E438" s="451" t="s">
        <v>2489</v>
      </c>
      <c r="F438" s="454" t="s">
        <v>2490</v>
      </c>
      <c r="G438" s="451" t="s">
        <v>2490</v>
      </c>
      <c r="H438" s="451" t="s">
        <v>2489</v>
      </c>
      <c r="I438" s="451" t="s">
        <v>447</v>
      </c>
      <c r="J438" s="454" t="str">
        <f t="shared" si="13"/>
        <v>[pt]Kenia</v>
      </c>
      <c r="K438" s="454" t="str">
        <f t="shared" si="14"/>
        <v>[gr]Kenia</v>
      </c>
      <c r="L438" s="525" t="s">
        <v>448</v>
      </c>
      <c r="M438" s="455" t="str">
        <f t="shared" si="18"/>
        <v/>
      </c>
    </row>
    <row r="439" spans="1:13" ht="15.75" customHeight="1">
      <c r="A439" s="523" t="s">
        <v>450</v>
      </c>
      <c r="B439" s="474" t="s">
        <v>2491</v>
      </c>
      <c r="C439" s="523" t="s">
        <v>2492</v>
      </c>
      <c r="D439" s="453" t="str">
        <f t="shared" si="17"/>
        <v>KGZ Kirgisistan</v>
      </c>
      <c r="E439" s="451" t="s">
        <v>2493</v>
      </c>
      <c r="F439" s="454" t="s">
        <v>2494</v>
      </c>
      <c r="G439" s="451" t="s">
        <v>2495</v>
      </c>
      <c r="H439" s="451" t="s">
        <v>2496</v>
      </c>
      <c r="I439" s="451" t="s">
        <v>2497</v>
      </c>
      <c r="J439" s="454" t="str">
        <f t="shared" si="13"/>
        <v>[pt]Kirgisistan</v>
      </c>
      <c r="K439" s="454" t="str">
        <f t="shared" si="14"/>
        <v>[gr]Kirgisistan</v>
      </c>
      <c r="L439" s="525" t="s">
        <v>450</v>
      </c>
      <c r="M439" s="455" t="str">
        <f t="shared" si="18"/>
        <v/>
      </c>
    </row>
    <row r="440" spans="1:13" ht="15.75" customHeight="1">
      <c r="A440" s="523" t="s">
        <v>452</v>
      </c>
      <c r="B440" s="474" t="s">
        <v>2498</v>
      </c>
      <c r="C440" s="523" t="s">
        <v>2499</v>
      </c>
      <c r="D440" s="453" t="str">
        <f t="shared" si="17"/>
        <v>KHM Kambodscha</v>
      </c>
      <c r="E440" s="451" t="s">
        <v>2500</v>
      </c>
      <c r="F440" s="454" t="s">
        <v>2501</v>
      </c>
      <c r="G440" s="451" t="s">
        <v>2502</v>
      </c>
      <c r="H440" s="451" t="s">
        <v>2503</v>
      </c>
      <c r="I440" s="451" t="s">
        <v>2504</v>
      </c>
      <c r="J440" s="454" t="str">
        <f t="shared" si="13"/>
        <v>[pt]Kambodscha</v>
      </c>
      <c r="K440" s="454" t="str">
        <f t="shared" si="14"/>
        <v>[gr]Kambodscha</v>
      </c>
      <c r="L440" s="525" t="s">
        <v>452</v>
      </c>
      <c r="M440" s="455" t="str">
        <f t="shared" si="18"/>
        <v/>
      </c>
    </row>
    <row r="441" spans="1:13" ht="28.5" customHeight="1">
      <c r="A441" s="523" t="s">
        <v>454</v>
      </c>
      <c r="B441" s="474" t="s">
        <v>2505</v>
      </c>
      <c r="C441" s="523" t="s">
        <v>2506</v>
      </c>
      <c r="D441" s="453" t="str">
        <f t="shared" si="17"/>
        <v>KIR Kiribati</v>
      </c>
      <c r="E441" s="451" t="s">
        <v>453</v>
      </c>
      <c r="F441" s="454" t="s">
        <v>2507</v>
      </c>
      <c r="G441" s="451" t="s">
        <v>2507</v>
      </c>
      <c r="H441" s="451" t="s">
        <v>453</v>
      </c>
      <c r="I441" s="451" t="s">
        <v>453</v>
      </c>
      <c r="J441" s="454" t="str">
        <f t="shared" si="13"/>
        <v>[pt]Kiribati</v>
      </c>
      <c r="K441" s="454" t="str">
        <f t="shared" si="14"/>
        <v>[gr]Kiribati</v>
      </c>
      <c r="L441" s="525" t="s">
        <v>454</v>
      </c>
      <c r="M441" s="455" t="str">
        <f t="shared" si="18"/>
        <v/>
      </c>
    </row>
    <row r="442" spans="1:13" ht="15.75" customHeight="1">
      <c r="A442" s="523" t="s">
        <v>456</v>
      </c>
      <c r="B442" s="474" t="s">
        <v>2508</v>
      </c>
      <c r="C442" s="523" t="s">
        <v>2509</v>
      </c>
      <c r="D442" s="453" t="str">
        <f t="shared" si="17"/>
        <v>KNA St. Kitts und Nevis</v>
      </c>
      <c r="E442" s="451" t="s">
        <v>2510</v>
      </c>
      <c r="F442" s="454" t="s">
        <v>2511</v>
      </c>
      <c r="G442" s="451" t="s">
        <v>2512</v>
      </c>
      <c r="H442" s="451" t="s">
        <v>2513</v>
      </c>
      <c r="I442" s="451" t="s">
        <v>2514</v>
      </c>
      <c r="J442" s="454" t="str">
        <f t="shared" si="13"/>
        <v>[pt]St. Kitts und Nevis</v>
      </c>
      <c r="K442" s="454" t="str">
        <f t="shared" si="14"/>
        <v>[gr]St. Kitts und Nevis</v>
      </c>
      <c r="L442" s="525" t="s">
        <v>456</v>
      </c>
      <c r="M442" s="455" t="str">
        <f t="shared" si="18"/>
        <v/>
      </c>
    </row>
    <row r="443" spans="1:13" ht="15.75" customHeight="1">
      <c r="A443" s="523" t="s">
        <v>458</v>
      </c>
      <c r="B443" s="474" t="s">
        <v>2515</v>
      </c>
      <c r="C443" s="523" t="s">
        <v>2516</v>
      </c>
      <c r="D443" s="453" t="str">
        <f t="shared" si="17"/>
        <v>KOR Korea, Republik (Südkorea)</v>
      </c>
      <c r="E443" s="451" t="s">
        <v>2517</v>
      </c>
      <c r="F443" s="454" t="s">
        <v>2518</v>
      </c>
      <c r="G443" s="451" t="s">
        <v>2519</v>
      </c>
      <c r="H443" s="451" t="s">
        <v>2520</v>
      </c>
      <c r="I443" s="451" t="s">
        <v>2521</v>
      </c>
      <c r="J443" s="454" t="str">
        <f t="shared" si="13"/>
        <v>[pt]Korea, Republik (Südkorea)</v>
      </c>
      <c r="K443" s="454" t="str">
        <f t="shared" si="14"/>
        <v>[gr]Korea, Republik (Südkorea)</v>
      </c>
      <c r="L443" s="525" t="s">
        <v>458</v>
      </c>
      <c r="M443" s="455" t="str">
        <f t="shared" si="18"/>
        <v/>
      </c>
    </row>
    <row r="444" spans="1:13" ht="15.75" customHeight="1">
      <c r="A444" s="523" t="s">
        <v>460</v>
      </c>
      <c r="B444" s="474" t="s">
        <v>2522</v>
      </c>
      <c r="C444" s="523" t="s">
        <v>2523</v>
      </c>
      <c r="D444" s="453" t="str">
        <f t="shared" si="17"/>
        <v>KWT Kuwait</v>
      </c>
      <c r="E444" s="451" t="s">
        <v>459</v>
      </c>
      <c r="F444" s="454" t="s">
        <v>2524</v>
      </c>
      <c r="G444" s="451" t="s">
        <v>2524</v>
      </c>
      <c r="H444" s="451" t="s">
        <v>459</v>
      </c>
      <c r="I444" s="451" t="s">
        <v>2525</v>
      </c>
      <c r="J444" s="454" t="str">
        <f t="shared" si="13"/>
        <v>[pt]Kuwait</v>
      </c>
      <c r="K444" s="454" t="str">
        <f t="shared" si="14"/>
        <v>[gr]Kuwait</v>
      </c>
      <c r="L444" s="525" t="s">
        <v>460</v>
      </c>
      <c r="M444" s="455" t="str">
        <f t="shared" si="18"/>
        <v/>
      </c>
    </row>
    <row r="445" spans="1:13" ht="15.75" customHeight="1">
      <c r="A445" s="523" t="s">
        <v>462</v>
      </c>
      <c r="B445" s="474" t="s">
        <v>2526</v>
      </c>
      <c r="C445" s="523" t="s">
        <v>2527</v>
      </c>
      <c r="D445" s="453" t="str">
        <f t="shared" si="17"/>
        <v>LAO Laos, Demokratische Volksrepublik</v>
      </c>
      <c r="E445" s="451" t="s">
        <v>2528</v>
      </c>
      <c r="F445" s="454" t="s">
        <v>2529</v>
      </c>
      <c r="G445" s="451" t="s">
        <v>2530</v>
      </c>
      <c r="H445" s="451" t="s">
        <v>2531</v>
      </c>
      <c r="I445" s="451" t="s">
        <v>2531</v>
      </c>
      <c r="J445" s="454" t="str">
        <f t="shared" si="13"/>
        <v>[pt]Laos, Demokratische Volksrepublik</v>
      </c>
      <c r="K445" s="454" t="str">
        <f t="shared" si="14"/>
        <v>[gr]Laos, Demokratische Volksrepublik</v>
      </c>
      <c r="L445" s="525" t="s">
        <v>462</v>
      </c>
      <c r="M445" s="455" t="str">
        <f t="shared" si="18"/>
        <v/>
      </c>
    </row>
    <row r="446" spans="1:13" ht="15.75" customHeight="1">
      <c r="A446" s="523" t="s">
        <v>464</v>
      </c>
      <c r="B446" s="474" t="s">
        <v>2532</v>
      </c>
      <c r="C446" s="523" t="s">
        <v>2533</v>
      </c>
      <c r="D446" s="453" t="str">
        <f t="shared" si="17"/>
        <v>LBN Libanon</v>
      </c>
      <c r="E446" s="451" t="s">
        <v>2534</v>
      </c>
      <c r="F446" s="454" t="s">
        <v>2535</v>
      </c>
      <c r="G446" s="451" t="s">
        <v>2536</v>
      </c>
      <c r="H446" s="451" t="s">
        <v>2537</v>
      </c>
      <c r="I446" s="451" t="s">
        <v>2538</v>
      </c>
      <c r="J446" s="454" t="str">
        <f t="shared" si="13"/>
        <v>[pt]Libanon</v>
      </c>
      <c r="K446" s="454" t="str">
        <f t="shared" si="14"/>
        <v>[gr]Libanon</v>
      </c>
      <c r="L446" s="525" t="s">
        <v>464</v>
      </c>
      <c r="M446" s="455" t="str">
        <f t="shared" si="18"/>
        <v/>
      </c>
    </row>
    <row r="447" spans="1:13" ht="15.75" customHeight="1">
      <c r="A447" s="523" t="s">
        <v>466</v>
      </c>
      <c r="B447" s="474" t="s">
        <v>2539</v>
      </c>
      <c r="C447" s="523" t="s">
        <v>2540</v>
      </c>
      <c r="D447" s="453" t="str">
        <f t="shared" si="17"/>
        <v>LBR Liberia</v>
      </c>
      <c r="E447" s="451" t="s">
        <v>465</v>
      </c>
      <c r="F447" s="454" t="s">
        <v>2541</v>
      </c>
      <c r="G447" s="451" t="s">
        <v>2541</v>
      </c>
      <c r="H447" s="451" t="s">
        <v>465</v>
      </c>
      <c r="I447" s="451" t="s">
        <v>2542</v>
      </c>
      <c r="J447" s="454" t="str">
        <f t="shared" si="13"/>
        <v>[pt]Liberia</v>
      </c>
      <c r="K447" s="454" t="str">
        <f t="shared" si="14"/>
        <v>[gr]Liberia</v>
      </c>
      <c r="L447" s="525" t="s">
        <v>466</v>
      </c>
      <c r="M447" s="455" t="str">
        <f t="shared" si="18"/>
        <v/>
      </c>
    </row>
    <row r="448" spans="1:13" ht="15.75" customHeight="1">
      <c r="A448" s="523" t="s">
        <v>468</v>
      </c>
      <c r="B448" s="474" t="s">
        <v>2543</v>
      </c>
      <c r="C448" s="523" t="s">
        <v>2544</v>
      </c>
      <c r="D448" s="453" t="str">
        <f t="shared" si="17"/>
        <v>LBY Libyen</v>
      </c>
      <c r="E448" s="451" t="s">
        <v>2545</v>
      </c>
      <c r="F448" s="454" t="s">
        <v>2546</v>
      </c>
      <c r="G448" s="451" t="s">
        <v>2547</v>
      </c>
      <c r="H448" s="451" t="s">
        <v>2548</v>
      </c>
      <c r="I448" s="451" t="s">
        <v>2549</v>
      </c>
      <c r="J448" s="454" t="str">
        <f t="shared" si="13"/>
        <v>[pt]Libyen</v>
      </c>
      <c r="K448" s="454" t="str">
        <f t="shared" si="14"/>
        <v>[gr]Libyen</v>
      </c>
      <c r="L448" s="525" t="s">
        <v>468</v>
      </c>
      <c r="M448" s="455" t="str">
        <f t="shared" si="18"/>
        <v/>
      </c>
    </row>
    <row r="449" spans="1:13" ht="15.75" customHeight="1">
      <c r="A449" s="523" t="s">
        <v>470</v>
      </c>
      <c r="B449" s="474" t="s">
        <v>2550</v>
      </c>
      <c r="C449" s="523" t="s">
        <v>2551</v>
      </c>
      <c r="D449" s="453" t="str">
        <f t="shared" si="17"/>
        <v>LCA St. Lucia</v>
      </c>
      <c r="E449" s="451" t="s">
        <v>469</v>
      </c>
      <c r="F449" s="454" t="s">
        <v>2552</v>
      </c>
      <c r="G449" s="451" t="s">
        <v>2553</v>
      </c>
      <c r="H449" s="451" t="s">
        <v>2554</v>
      </c>
      <c r="I449" s="451" t="s">
        <v>2555</v>
      </c>
      <c r="J449" s="454" t="str">
        <f t="shared" si="13"/>
        <v>[pt]St. Lucia</v>
      </c>
      <c r="K449" s="454" t="str">
        <f t="shared" si="14"/>
        <v>[gr]St. Lucia</v>
      </c>
      <c r="L449" s="525" t="s">
        <v>470</v>
      </c>
      <c r="M449" s="455" t="str">
        <f t="shared" si="18"/>
        <v/>
      </c>
    </row>
    <row r="450" spans="1:13" ht="15.75" customHeight="1">
      <c r="A450" s="523" t="s">
        <v>472</v>
      </c>
      <c r="B450" s="474" t="s">
        <v>2556</v>
      </c>
      <c r="C450" s="523" t="s">
        <v>2557</v>
      </c>
      <c r="D450" s="453" t="str">
        <f t="shared" si="17"/>
        <v>LIE Liechtenstein</v>
      </c>
      <c r="E450" s="451" t="s">
        <v>471</v>
      </c>
      <c r="F450" s="454" t="s">
        <v>2558</v>
      </c>
      <c r="G450" s="451" t="s">
        <v>2558</v>
      </c>
      <c r="H450" s="451" t="s">
        <v>471</v>
      </c>
      <c r="I450" s="451" t="s">
        <v>471</v>
      </c>
      <c r="J450" s="454" t="str">
        <f t="shared" si="13"/>
        <v>[pt]Liechtenstein</v>
      </c>
      <c r="K450" s="454" t="str">
        <f t="shared" si="14"/>
        <v>[gr]Liechtenstein</v>
      </c>
      <c r="L450" s="525" t="s">
        <v>472</v>
      </c>
      <c r="M450" s="455" t="str">
        <f t="shared" si="18"/>
        <v/>
      </c>
    </row>
    <row r="451" spans="1:13" ht="15.75" customHeight="1">
      <c r="A451" s="523" t="s">
        <v>474</v>
      </c>
      <c r="B451" s="474" t="s">
        <v>2559</v>
      </c>
      <c r="C451" s="523" t="s">
        <v>2560</v>
      </c>
      <c r="D451" s="453" t="str">
        <f t="shared" si="17"/>
        <v>LKA Sri Lanka</v>
      </c>
      <c r="E451" s="451" t="s">
        <v>473</v>
      </c>
      <c r="F451" s="454" t="s">
        <v>2561</v>
      </c>
      <c r="G451" s="451" t="s">
        <v>2561</v>
      </c>
      <c r="H451" s="451" t="s">
        <v>473</v>
      </c>
      <c r="I451" s="451" t="s">
        <v>473</v>
      </c>
      <c r="J451" s="454" t="str">
        <f t="shared" si="13"/>
        <v>[pt]Sri Lanka</v>
      </c>
      <c r="K451" s="454" t="str">
        <f t="shared" si="14"/>
        <v>[gr]Sri Lanka</v>
      </c>
      <c r="L451" s="525" t="s">
        <v>474</v>
      </c>
      <c r="M451" s="455" t="str">
        <f t="shared" si="18"/>
        <v/>
      </c>
    </row>
    <row r="452" spans="1:13" ht="15.75" customHeight="1">
      <c r="A452" s="523" t="s">
        <v>476</v>
      </c>
      <c r="B452" s="474" t="s">
        <v>2562</v>
      </c>
      <c r="C452" s="523" t="s">
        <v>2563</v>
      </c>
      <c r="D452" s="453" t="str">
        <f t="shared" si="17"/>
        <v>LSO Lesotho</v>
      </c>
      <c r="E452" s="451" t="s">
        <v>475</v>
      </c>
      <c r="F452" s="454" t="s">
        <v>2564</v>
      </c>
      <c r="G452" s="451" t="s">
        <v>2564</v>
      </c>
      <c r="H452" s="451" t="s">
        <v>2565</v>
      </c>
      <c r="I452" s="451" t="s">
        <v>475</v>
      </c>
      <c r="J452" s="454" t="str">
        <f t="shared" si="13"/>
        <v>[pt]Lesotho</v>
      </c>
      <c r="K452" s="454" t="str">
        <f t="shared" si="14"/>
        <v>[gr]Lesotho</v>
      </c>
      <c r="L452" s="525" t="s">
        <v>476</v>
      </c>
      <c r="M452" s="455" t="str">
        <f t="shared" si="18"/>
        <v/>
      </c>
    </row>
    <row r="453" spans="1:13" ht="15.75" customHeight="1">
      <c r="A453" s="523" t="s">
        <v>478</v>
      </c>
      <c r="B453" s="474" t="s">
        <v>2566</v>
      </c>
      <c r="C453" s="523" t="s">
        <v>2567</v>
      </c>
      <c r="D453" s="453" t="str">
        <f t="shared" si="17"/>
        <v>LTU Litauen</v>
      </c>
      <c r="E453" s="451" t="s">
        <v>2568</v>
      </c>
      <c r="F453" s="454" t="s">
        <v>2569</v>
      </c>
      <c r="G453" s="451" t="s">
        <v>2570</v>
      </c>
      <c r="H453" s="451" t="s">
        <v>2571</v>
      </c>
      <c r="I453" s="451" t="s">
        <v>2572</v>
      </c>
      <c r="J453" s="454" t="str">
        <f t="shared" si="13"/>
        <v>[pt]Litauen</v>
      </c>
      <c r="K453" s="454" t="str">
        <f t="shared" si="14"/>
        <v>[gr]Litauen</v>
      </c>
      <c r="L453" s="525" t="s">
        <v>478</v>
      </c>
      <c r="M453" s="455" t="str">
        <f t="shared" si="18"/>
        <v/>
      </c>
    </row>
    <row r="454" spans="1:13" ht="15.75" customHeight="1">
      <c r="A454" s="523" t="s">
        <v>480</v>
      </c>
      <c r="B454" s="474" t="s">
        <v>2573</v>
      </c>
      <c r="C454" s="523" t="s">
        <v>2574</v>
      </c>
      <c r="D454" s="453" t="str">
        <f t="shared" si="17"/>
        <v>LUX Luxemburg</v>
      </c>
      <c r="E454" s="451" t="s">
        <v>2575</v>
      </c>
      <c r="F454" s="454" t="s">
        <v>2576</v>
      </c>
      <c r="G454" s="451" t="s">
        <v>2577</v>
      </c>
      <c r="H454" s="451" t="s">
        <v>2578</v>
      </c>
      <c r="I454" s="451" t="s">
        <v>479</v>
      </c>
      <c r="J454" s="454" t="str">
        <f t="shared" si="13"/>
        <v>[pt]Luxemburg</v>
      </c>
      <c r="K454" s="454" t="str">
        <f t="shared" si="14"/>
        <v>[gr]Luxemburg</v>
      </c>
      <c r="L454" s="525" t="s">
        <v>480</v>
      </c>
      <c r="M454" s="455" t="str">
        <f t="shared" si="18"/>
        <v/>
      </c>
    </row>
    <row r="455" spans="1:13" ht="15.75" customHeight="1">
      <c r="A455" s="523" t="s">
        <v>482</v>
      </c>
      <c r="B455" s="474" t="s">
        <v>2579</v>
      </c>
      <c r="C455" s="523" t="s">
        <v>2580</v>
      </c>
      <c r="D455" s="453" t="str">
        <f t="shared" si="17"/>
        <v>LVA Lettland</v>
      </c>
      <c r="E455" s="451" t="s">
        <v>2581</v>
      </c>
      <c r="F455" s="454" t="s">
        <v>2582</v>
      </c>
      <c r="G455" s="451" t="s">
        <v>2583</v>
      </c>
      <c r="H455" s="451" t="s">
        <v>2584</v>
      </c>
      <c r="I455" s="451" t="s">
        <v>2585</v>
      </c>
      <c r="J455" s="454" t="str">
        <f t="shared" si="13"/>
        <v>[pt]Lettland</v>
      </c>
      <c r="K455" s="454" t="str">
        <f t="shared" si="14"/>
        <v>[gr]Lettland</v>
      </c>
      <c r="L455" s="525" t="s">
        <v>482</v>
      </c>
      <c r="M455" s="455" t="str">
        <f t="shared" si="18"/>
        <v/>
      </c>
    </row>
    <row r="456" spans="1:13" ht="15.75" customHeight="1">
      <c r="A456" s="523" t="s">
        <v>484</v>
      </c>
      <c r="B456" s="474" t="s">
        <v>2586</v>
      </c>
      <c r="C456" s="523" t="s">
        <v>2587</v>
      </c>
      <c r="D456" s="453" t="str">
        <f t="shared" si="17"/>
        <v>MAC Macao</v>
      </c>
      <c r="E456" s="451" t="s">
        <v>2588</v>
      </c>
      <c r="F456" s="454" t="s">
        <v>2589</v>
      </c>
      <c r="G456" s="451" t="s">
        <v>2589</v>
      </c>
      <c r="H456" s="451" t="s">
        <v>2588</v>
      </c>
      <c r="I456" s="451" t="s">
        <v>2588</v>
      </c>
      <c r="J456" s="454" t="str">
        <f t="shared" si="13"/>
        <v>[pt]Macao</v>
      </c>
      <c r="K456" s="454" t="str">
        <f t="shared" si="14"/>
        <v>[gr]Macao</v>
      </c>
      <c r="L456" s="525" t="s">
        <v>484</v>
      </c>
      <c r="M456" s="455" t="str">
        <f t="shared" si="18"/>
        <v/>
      </c>
    </row>
    <row r="457" spans="1:13" ht="15.75" customHeight="1">
      <c r="A457" s="523" t="s">
        <v>486</v>
      </c>
      <c r="B457" s="474" t="s">
        <v>2590</v>
      </c>
      <c r="C457" s="523" t="s">
        <v>2591</v>
      </c>
      <c r="D457" s="453" t="str">
        <f t="shared" si="17"/>
        <v>MAF Saint-Martin (franz. Teil)</v>
      </c>
      <c r="E457" s="451" t="s">
        <v>2592</v>
      </c>
      <c r="F457" s="454" t="s">
        <v>2593</v>
      </c>
      <c r="G457" s="451" t="s">
        <v>2594</v>
      </c>
      <c r="H457" s="451" t="s">
        <v>2595</v>
      </c>
      <c r="I457" s="451" t="s">
        <v>2596</v>
      </c>
      <c r="J457" s="454" t="str">
        <f t="shared" ref="J457:J488" si="19">"[pt]"&amp;E457</f>
        <v>[pt]Saint-Martin (franz. Teil)</v>
      </c>
      <c r="K457" s="454" t="str">
        <f t="shared" ref="K457:K488" si="20">"[gr]"&amp;E457</f>
        <v>[gr]Saint-Martin (franz. Teil)</v>
      </c>
      <c r="L457" s="525" t="s">
        <v>486</v>
      </c>
      <c r="M457" s="455" t="str">
        <f t="shared" si="18"/>
        <v/>
      </c>
    </row>
    <row r="458" spans="1:13" ht="15.75" customHeight="1">
      <c r="A458" s="523" t="s">
        <v>488</v>
      </c>
      <c r="B458" s="474" t="s">
        <v>2597</v>
      </c>
      <c r="C458" s="523" t="s">
        <v>2598</v>
      </c>
      <c r="D458" s="453" t="str">
        <f t="shared" si="17"/>
        <v>MAR Marokko</v>
      </c>
      <c r="E458" s="451" t="s">
        <v>2599</v>
      </c>
      <c r="F458" s="454" t="s">
        <v>2600</v>
      </c>
      <c r="G458" s="451" t="s">
        <v>2601</v>
      </c>
      <c r="H458" s="451" t="s">
        <v>2602</v>
      </c>
      <c r="I458" s="451" t="s">
        <v>2603</v>
      </c>
      <c r="J458" s="454" t="str">
        <f t="shared" si="19"/>
        <v>[pt]Marokko</v>
      </c>
      <c r="K458" s="454" t="str">
        <f t="shared" si="20"/>
        <v>[gr]Marokko</v>
      </c>
      <c r="L458" s="525" t="s">
        <v>488</v>
      </c>
      <c r="M458" s="455" t="str">
        <f t="shared" si="18"/>
        <v/>
      </c>
    </row>
    <row r="459" spans="1:13" ht="15.75" customHeight="1">
      <c r="A459" s="523" t="s">
        <v>490</v>
      </c>
      <c r="B459" s="474" t="s">
        <v>2604</v>
      </c>
      <c r="C459" s="523" t="s">
        <v>2605</v>
      </c>
      <c r="D459" s="453" t="str">
        <f t="shared" si="17"/>
        <v>MCO Monaco</v>
      </c>
      <c r="E459" s="451" t="s">
        <v>489</v>
      </c>
      <c r="F459" s="454" t="s">
        <v>2606</v>
      </c>
      <c r="G459" s="451" t="s">
        <v>2607</v>
      </c>
      <c r="H459" s="451" t="s">
        <v>2608</v>
      </c>
      <c r="I459" s="451" t="s">
        <v>489</v>
      </c>
      <c r="J459" s="454" t="str">
        <f t="shared" si="19"/>
        <v>[pt]Monaco</v>
      </c>
      <c r="K459" s="454" t="str">
        <f t="shared" si="20"/>
        <v>[gr]Monaco</v>
      </c>
      <c r="L459" s="525" t="s">
        <v>490</v>
      </c>
      <c r="M459" s="455" t="str">
        <f t="shared" si="18"/>
        <v/>
      </c>
    </row>
    <row r="460" spans="1:13" ht="15.75" customHeight="1">
      <c r="A460" s="523" t="s">
        <v>492</v>
      </c>
      <c r="B460" s="474" t="s">
        <v>2609</v>
      </c>
      <c r="C460" s="523" t="s">
        <v>2610</v>
      </c>
      <c r="D460" s="453" t="str">
        <f t="shared" si="17"/>
        <v>MDA Moldawien (Republik Moldau)</v>
      </c>
      <c r="E460" s="451" t="s">
        <v>2611</v>
      </c>
      <c r="F460" s="454" t="s">
        <v>2612</v>
      </c>
      <c r="G460" s="451" t="s">
        <v>2613</v>
      </c>
      <c r="H460" s="451" t="s">
        <v>2614</v>
      </c>
      <c r="I460" s="451" t="s">
        <v>2615</v>
      </c>
      <c r="J460" s="454" t="str">
        <f t="shared" si="19"/>
        <v>[pt]Moldawien (Republik Moldau)</v>
      </c>
      <c r="K460" s="454" t="str">
        <f t="shared" si="20"/>
        <v>[gr]Moldawien (Republik Moldau)</v>
      </c>
      <c r="L460" s="525" t="s">
        <v>492</v>
      </c>
      <c r="M460" s="455" t="str">
        <f t="shared" si="18"/>
        <v/>
      </c>
    </row>
    <row r="461" spans="1:13" ht="15.75" customHeight="1">
      <c r="A461" s="523" t="s">
        <v>494</v>
      </c>
      <c r="B461" s="474" t="s">
        <v>2616</v>
      </c>
      <c r="C461" s="523" t="s">
        <v>2617</v>
      </c>
      <c r="D461" s="453" t="str">
        <f t="shared" si="17"/>
        <v>MDG Madagaskar</v>
      </c>
      <c r="E461" s="451" t="s">
        <v>2618</v>
      </c>
      <c r="F461" s="454" t="s">
        <v>2619</v>
      </c>
      <c r="G461" s="451" t="s">
        <v>2619</v>
      </c>
      <c r="H461" s="451" t="s">
        <v>493</v>
      </c>
      <c r="I461" s="451" t="s">
        <v>493</v>
      </c>
      <c r="J461" s="454" t="str">
        <f t="shared" si="19"/>
        <v>[pt]Madagaskar</v>
      </c>
      <c r="K461" s="454" t="str">
        <f t="shared" si="20"/>
        <v>[gr]Madagaskar</v>
      </c>
      <c r="L461" s="525" t="s">
        <v>494</v>
      </c>
      <c r="M461" s="455" t="str">
        <f t="shared" si="18"/>
        <v/>
      </c>
    </row>
    <row r="462" spans="1:13" ht="15.75" customHeight="1">
      <c r="A462" s="523" t="s">
        <v>496</v>
      </c>
      <c r="B462" s="474" t="s">
        <v>2620</v>
      </c>
      <c r="C462" s="523" t="s">
        <v>2621</v>
      </c>
      <c r="D462" s="453" t="str">
        <f t="shared" si="17"/>
        <v>MDV Malediven</v>
      </c>
      <c r="E462" s="451" t="s">
        <v>2622</v>
      </c>
      <c r="F462" s="454" t="s">
        <v>2623</v>
      </c>
      <c r="G462" s="451" t="s">
        <v>2624</v>
      </c>
      <c r="H462" s="451" t="s">
        <v>2625</v>
      </c>
      <c r="I462" s="451" t="s">
        <v>495</v>
      </c>
      <c r="J462" s="454" t="str">
        <f t="shared" si="19"/>
        <v>[pt]Malediven</v>
      </c>
      <c r="K462" s="454" t="str">
        <f t="shared" si="20"/>
        <v>[gr]Malediven</v>
      </c>
      <c r="L462" s="525" t="s">
        <v>496</v>
      </c>
      <c r="M462" s="455" t="str">
        <f t="shared" si="18"/>
        <v/>
      </c>
    </row>
    <row r="463" spans="1:13" ht="15.75" customHeight="1">
      <c r="A463" s="523" t="s">
        <v>498</v>
      </c>
      <c r="B463" s="474" t="s">
        <v>2626</v>
      </c>
      <c r="C463" s="523" t="s">
        <v>2627</v>
      </c>
      <c r="D463" s="453" t="str">
        <f t="shared" si="17"/>
        <v>MEX Mexiko</v>
      </c>
      <c r="E463" s="451" t="s">
        <v>2628</v>
      </c>
      <c r="F463" s="454" t="s">
        <v>2629</v>
      </c>
      <c r="G463" s="451" t="s">
        <v>2630</v>
      </c>
      <c r="H463" s="451" t="s">
        <v>2631</v>
      </c>
      <c r="I463" s="451" t="s">
        <v>2632</v>
      </c>
      <c r="J463" s="454" t="str">
        <f t="shared" si="19"/>
        <v>[pt]Mexiko</v>
      </c>
      <c r="K463" s="454" t="str">
        <f t="shared" si="20"/>
        <v>[gr]Mexiko</v>
      </c>
      <c r="L463" s="525" t="s">
        <v>498</v>
      </c>
      <c r="M463" s="455" t="str">
        <f t="shared" si="18"/>
        <v/>
      </c>
    </row>
    <row r="464" spans="1:13" ht="15.75" customHeight="1">
      <c r="A464" s="523" t="s">
        <v>500</v>
      </c>
      <c r="B464" s="474" t="s">
        <v>2633</v>
      </c>
      <c r="C464" s="523" t="s">
        <v>2634</v>
      </c>
      <c r="D464" s="453" t="str">
        <f t="shared" si="17"/>
        <v>MHL Marshallinseln</v>
      </c>
      <c r="E464" s="451" t="s">
        <v>2635</v>
      </c>
      <c r="F464" s="454" t="s">
        <v>2636</v>
      </c>
      <c r="G464" s="451" t="s">
        <v>2637</v>
      </c>
      <c r="H464" s="451" t="s">
        <v>2638</v>
      </c>
      <c r="I464" s="451" t="s">
        <v>2639</v>
      </c>
      <c r="J464" s="454" t="str">
        <f t="shared" si="19"/>
        <v>[pt]Marshallinseln</v>
      </c>
      <c r="K464" s="454" t="str">
        <f t="shared" si="20"/>
        <v>[gr]Marshallinseln</v>
      </c>
      <c r="L464" s="525" t="s">
        <v>500</v>
      </c>
      <c r="M464" s="455" t="str">
        <f t="shared" si="18"/>
        <v/>
      </c>
    </row>
    <row r="465" spans="1:13" ht="15.75" customHeight="1">
      <c r="A465" s="523" t="s">
        <v>502</v>
      </c>
      <c r="B465" s="474" t="s">
        <v>2640</v>
      </c>
      <c r="C465" s="523" t="s">
        <v>2641</v>
      </c>
      <c r="D465" s="453" t="str">
        <f t="shared" si="17"/>
        <v>MKD Mazedonien</v>
      </c>
      <c r="E465" s="451" t="s">
        <v>2642</v>
      </c>
      <c r="F465" s="454" t="s">
        <v>2643</v>
      </c>
      <c r="G465" s="451" t="s">
        <v>2644</v>
      </c>
      <c r="H465" s="451" t="s">
        <v>2645</v>
      </c>
      <c r="I465" s="451" t="s">
        <v>2646</v>
      </c>
      <c r="J465" s="454" t="str">
        <f t="shared" si="19"/>
        <v>[pt]Mazedonien</v>
      </c>
      <c r="K465" s="454" t="str">
        <f t="shared" si="20"/>
        <v>[gr]Mazedonien</v>
      </c>
      <c r="L465" s="525" t="s">
        <v>502</v>
      </c>
      <c r="M465" s="455" t="str">
        <f t="shared" si="18"/>
        <v/>
      </c>
    </row>
    <row r="466" spans="1:13" ht="15.75" customHeight="1">
      <c r="A466" s="523" t="s">
        <v>504</v>
      </c>
      <c r="B466" s="474" t="s">
        <v>2647</v>
      </c>
      <c r="C466" s="523" t="s">
        <v>2648</v>
      </c>
      <c r="D466" s="453" t="str">
        <f t="shared" si="17"/>
        <v>MLI Mali</v>
      </c>
      <c r="E466" s="451" t="s">
        <v>503</v>
      </c>
      <c r="F466" s="454" t="s">
        <v>2649</v>
      </c>
      <c r="G466" s="451" t="s">
        <v>2649</v>
      </c>
      <c r="H466" s="451" t="s">
        <v>2650</v>
      </c>
      <c r="I466" s="451" t="s">
        <v>503</v>
      </c>
      <c r="J466" s="454" t="str">
        <f t="shared" si="19"/>
        <v>[pt]Mali</v>
      </c>
      <c r="K466" s="454" t="str">
        <f t="shared" si="20"/>
        <v>[gr]Mali</v>
      </c>
      <c r="L466" s="525" t="s">
        <v>504</v>
      </c>
      <c r="M466" s="455" t="str">
        <f t="shared" si="18"/>
        <v/>
      </c>
    </row>
    <row r="467" spans="1:13" ht="15.75" customHeight="1">
      <c r="A467" s="523" t="s">
        <v>506</v>
      </c>
      <c r="B467" s="474" t="s">
        <v>2651</v>
      </c>
      <c r="C467" s="523" t="s">
        <v>2652</v>
      </c>
      <c r="D467" s="453" t="str">
        <f t="shared" si="17"/>
        <v>MLT Malta</v>
      </c>
      <c r="E467" s="451" t="s">
        <v>505</v>
      </c>
      <c r="F467" s="454" t="s">
        <v>2653</v>
      </c>
      <c r="G467" s="451" t="s">
        <v>2653</v>
      </c>
      <c r="H467" s="451" t="s">
        <v>505</v>
      </c>
      <c r="I467" s="451" t="s">
        <v>2654</v>
      </c>
      <c r="J467" s="454" t="str">
        <f t="shared" si="19"/>
        <v>[pt]Malta</v>
      </c>
      <c r="K467" s="454" t="str">
        <f t="shared" si="20"/>
        <v>[gr]Malta</v>
      </c>
      <c r="L467" s="525" t="s">
        <v>506</v>
      </c>
      <c r="M467" s="455" t="str">
        <f t="shared" si="18"/>
        <v/>
      </c>
    </row>
    <row r="468" spans="1:13" ht="15.75" customHeight="1">
      <c r="A468" s="523" t="s">
        <v>508</v>
      </c>
      <c r="B468" s="474" t="s">
        <v>2655</v>
      </c>
      <c r="C468" s="523" t="s">
        <v>2656</v>
      </c>
      <c r="D468" s="453" t="str">
        <f t="shared" si="17"/>
        <v>MMR Myanmar (Burma)</v>
      </c>
      <c r="E468" s="451" t="s">
        <v>2657</v>
      </c>
      <c r="F468" s="454" t="s">
        <v>2658</v>
      </c>
      <c r="G468" s="451" t="s">
        <v>2659</v>
      </c>
      <c r="H468" s="451" t="s">
        <v>2660</v>
      </c>
      <c r="I468" s="451" t="s">
        <v>507</v>
      </c>
      <c r="J468" s="454" t="str">
        <f t="shared" si="19"/>
        <v>[pt]Myanmar (Burma)</v>
      </c>
      <c r="K468" s="454" t="str">
        <f t="shared" si="20"/>
        <v>[gr]Myanmar (Burma)</v>
      </c>
      <c r="L468" s="525" t="s">
        <v>508</v>
      </c>
      <c r="M468" s="455" t="str">
        <f t="shared" si="18"/>
        <v/>
      </c>
    </row>
    <row r="469" spans="1:13" ht="15.75" customHeight="1">
      <c r="A469" s="523" t="s">
        <v>510</v>
      </c>
      <c r="B469" s="474" t="s">
        <v>2661</v>
      </c>
      <c r="C469" s="523" t="s">
        <v>2662</v>
      </c>
      <c r="D469" s="453" t="str">
        <f t="shared" si="17"/>
        <v>MNE Montenegro</v>
      </c>
      <c r="E469" s="451" t="s">
        <v>509</v>
      </c>
      <c r="F469" s="454" t="s">
        <v>2663</v>
      </c>
      <c r="G469" s="451" t="s">
        <v>2663</v>
      </c>
      <c r="H469" s="451" t="s">
        <v>509</v>
      </c>
      <c r="I469" s="451" t="s">
        <v>2664</v>
      </c>
      <c r="J469" s="454" t="str">
        <f t="shared" si="19"/>
        <v>[pt]Montenegro</v>
      </c>
      <c r="K469" s="454" t="str">
        <f t="shared" si="20"/>
        <v>[gr]Montenegro</v>
      </c>
      <c r="L469" s="525" t="s">
        <v>510</v>
      </c>
      <c r="M469" s="455" t="str">
        <f t="shared" si="18"/>
        <v/>
      </c>
    </row>
    <row r="470" spans="1:13" ht="15.75" customHeight="1">
      <c r="A470" s="523" t="s">
        <v>512</v>
      </c>
      <c r="B470" s="474" t="s">
        <v>2665</v>
      </c>
      <c r="C470" s="523" t="s">
        <v>2666</v>
      </c>
      <c r="D470" s="453" t="str">
        <f t="shared" si="17"/>
        <v>MNG Mongolei</v>
      </c>
      <c r="E470" s="451" t="s">
        <v>2667</v>
      </c>
      <c r="F470" s="454" t="s">
        <v>2668</v>
      </c>
      <c r="G470" s="451" t="s">
        <v>2668</v>
      </c>
      <c r="H470" s="451" t="s">
        <v>511</v>
      </c>
      <c r="I470" s="451" t="s">
        <v>2669</v>
      </c>
      <c r="J470" s="454" t="str">
        <f t="shared" si="19"/>
        <v>[pt]Mongolei</v>
      </c>
      <c r="K470" s="454" t="str">
        <f t="shared" si="20"/>
        <v>[gr]Mongolei</v>
      </c>
      <c r="L470" s="525" t="s">
        <v>512</v>
      </c>
      <c r="M470" s="455" t="str">
        <f t="shared" si="18"/>
        <v/>
      </c>
    </row>
    <row r="471" spans="1:13" ht="15.75" customHeight="1">
      <c r="A471" s="523" t="s">
        <v>514</v>
      </c>
      <c r="B471" s="474" t="s">
        <v>2670</v>
      </c>
      <c r="C471" s="523" t="s">
        <v>2671</v>
      </c>
      <c r="D471" s="453" t="str">
        <f t="shared" si="17"/>
        <v>MNP Nördliche Marianen</v>
      </c>
      <c r="E471" s="451" t="s">
        <v>2672</v>
      </c>
      <c r="F471" s="454" t="s">
        <v>2673</v>
      </c>
      <c r="G471" s="451" t="s">
        <v>2674</v>
      </c>
      <c r="H471" s="451" t="s">
        <v>2675</v>
      </c>
      <c r="I471" s="451" t="s">
        <v>2676</v>
      </c>
      <c r="J471" s="454" t="str">
        <f t="shared" si="19"/>
        <v>[pt]Nördliche Marianen</v>
      </c>
      <c r="K471" s="454" t="str">
        <f t="shared" si="20"/>
        <v>[gr]Nördliche Marianen</v>
      </c>
      <c r="L471" s="525" t="s">
        <v>514</v>
      </c>
      <c r="M471" s="455" t="str">
        <f t="shared" si="18"/>
        <v/>
      </c>
    </row>
    <row r="472" spans="1:13" ht="15.75" customHeight="1">
      <c r="A472" s="523" t="s">
        <v>516</v>
      </c>
      <c r="B472" s="474" t="s">
        <v>2677</v>
      </c>
      <c r="C472" s="523" t="s">
        <v>2678</v>
      </c>
      <c r="D472" s="453" t="str">
        <f t="shared" si="17"/>
        <v>MOZ Mosambik</v>
      </c>
      <c r="E472" s="451" t="s">
        <v>2679</v>
      </c>
      <c r="F472" s="454" t="s">
        <v>2680</v>
      </c>
      <c r="G472" s="451" t="s">
        <v>2681</v>
      </c>
      <c r="H472" s="451" t="s">
        <v>515</v>
      </c>
      <c r="I472" s="451" t="s">
        <v>515</v>
      </c>
      <c r="J472" s="454" t="str">
        <f t="shared" si="19"/>
        <v>[pt]Mosambik</v>
      </c>
      <c r="K472" s="454" t="str">
        <f t="shared" si="20"/>
        <v>[gr]Mosambik</v>
      </c>
      <c r="L472" s="525" t="s">
        <v>516</v>
      </c>
      <c r="M472" s="455" t="str">
        <f t="shared" si="18"/>
        <v/>
      </c>
    </row>
    <row r="473" spans="1:13" ht="15.75" customHeight="1">
      <c r="A473" s="523" t="s">
        <v>518</v>
      </c>
      <c r="B473" s="474" t="s">
        <v>2682</v>
      </c>
      <c r="C473" s="523" t="s">
        <v>2683</v>
      </c>
      <c r="D473" s="453" t="str">
        <f t="shared" si="17"/>
        <v>MRT Mauretanien</v>
      </c>
      <c r="E473" s="451" t="s">
        <v>2684</v>
      </c>
      <c r="F473" s="454" t="s">
        <v>2685</v>
      </c>
      <c r="G473" s="451" t="s">
        <v>2685</v>
      </c>
      <c r="H473" s="451" t="s">
        <v>517</v>
      </c>
      <c r="I473" s="451" t="s">
        <v>2686</v>
      </c>
      <c r="J473" s="454" t="str">
        <f t="shared" si="19"/>
        <v>[pt]Mauretanien</v>
      </c>
      <c r="K473" s="454" t="str">
        <f t="shared" si="20"/>
        <v>[gr]Mauretanien</v>
      </c>
      <c r="L473" s="525" t="s">
        <v>518</v>
      </c>
      <c r="M473" s="455" t="str">
        <f t="shared" si="18"/>
        <v/>
      </c>
    </row>
    <row r="474" spans="1:13" ht="15.75" customHeight="1">
      <c r="A474" s="523" t="s">
        <v>520</v>
      </c>
      <c r="B474" s="474" t="s">
        <v>2687</v>
      </c>
      <c r="C474" s="523" t="s">
        <v>2688</v>
      </c>
      <c r="D474" s="453" t="str">
        <f t="shared" si="17"/>
        <v>MUS Mauritius</v>
      </c>
      <c r="E474" s="451" t="s">
        <v>519</v>
      </c>
      <c r="F474" s="454" t="s">
        <v>2689</v>
      </c>
      <c r="G474" s="451" t="s">
        <v>2689</v>
      </c>
      <c r="H474" s="451" t="s">
        <v>2690</v>
      </c>
      <c r="I474" s="451" t="s">
        <v>2691</v>
      </c>
      <c r="J474" s="454" t="str">
        <f t="shared" si="19"/>
        <v>[pt]Mauritius</v>
      </c>
      <c r="K474" s="454" t="str">
        <f t="shared" si="20"/>
        <v>[gr]Mauritius</v>
      </c>
      <c r="L474" s="525" t="s">
        <v>520</v>
      </c>
      <c r="M474" s="455" t="str">
        <f t="shared" si="18"/>
        <v/>
      </c>
    </row>
    <row r="475" spans="1:13" ht="15.75" customHeight="1">
      <c r="A475" s="523" t="s">
        <v>522</v>
      </c>
      <c r="B475" s="474" t="s">
        <v>2692</v>
      </c>
      <c r="C475" s="523" t="s">
        <v>2693</v>
      </c>
      <c r="D475" s="453" t="str">
        <f t="shared" si="17"/>
        <v>MWI Malawi</v>
      </c>
      <c r="E475" s="451" t="s">
        <v>521</v>
      </c>
      <c r="F475" s="454" t="s">
        <v>2694</v>
      </c>
      <c r="G475" s="451" t="s">
        <v>2694</v>
      </c>
      <c r="H475" s="451" t="s">
        <v>2695</v>
      </c>
      <c r="I475" s="451" t="s">
        <v>521</v>
      </c>
      <c r="J475" s="454" t="str">
        <f t="shared" si="19"/>
        <v>[pt]Malawi</v>
      </c>
      <c r="K475" s="454" t="str">
        <f t="shared" si="20"/>
        <v>[gr]Malawi</v>
      </c>
      <c r="L475" s="525" t="s">
        <v>522</v>
      </c>
      <c r="M475" s="455" t="str">
        <f t="shared" si="18"/>
        <v/>
      </c>
    </row>
    <row r="476" spans="1:13" ht="15.75" customHeight="1">
      <c r="A476" s="523" t="s">
        <v>524</v>
      </c>
      <c r="B476" s="474" t="s">
        <v>2696</v>
      </c>
      <c r="C476" s="523" t="s">
        <v>2697</v>
      </c>
      <c r="D476" s="453" t="str">
        <f t="shared" si="17"/>
        <v>MYS Malaysia</v>
      </c>
      <c r="E476" s="451" t="s">
        <v>523</v>
      </c>
      <c r="F476" s="454" t="s">
        <v>2698</v>
      </c>
      <c r="G476" s="451" t="s">
        <v>2699</v>
      </c>
      <c r="H476" s="451" t="s">
        <v>2700</v>
      </c>
      <c r="I476" s="451" t="s">
        <v>2701</v>
      </c>
      <c r="J476" s="454" t="str">
        <f t="shared" si="19"/>
        <v>[pt]Malaysia</v>
      </c>
      <c r="K476" s="454" t="str">
        <f t="shared" si="20"/>
        <v>[gr]Malaysia</v>
      </c>
      <c r="L476" s="525" t="s">
        <v>524</v>
      </c>
      <c r="M476" s="455" t="str">
        <f t="shared" si="18"/>
        <v/>
      </c>
    </row>
    <row r="477" spans="1:13" ht="15.75" customHeight="1">
      <c r="A477" s="523" t="s">
        <v>526</v>
      </c>
      <c r="B477" s="474" t="s">
        <v>2702</v>
      </c>
      <c r="C477" s="523" t="s">
        <v>2703</v>
      </c>
      <c r="D477" s="453" t="str">
        <f t="shared" si="17"/>
        <v>NAM Namibia</v>
      </c>
      <c r="E477" s="451" t="s">
        <v>525</v>
      </c>
      <c r="F477" s="454" t="s">
        <v>2704</v>
      </c>
      <c r="G477" s="451" t="s">
        <v>2704</v>
      </c>
      <c r="H477" s="451" t="s">
        <v>525</v>
      </c>
      <c r="I477" s="451" t="s">
        <v>2705</v>
      </c>
      <c r="J477" s="454" t="str">
        <f t="shared" si="19"/>
        <v>[pt]Namibia</v>
      </c>
      <c r="K477" s="454" t="str">
        <f t="shared" si="20"/>
        <v>[gr]Namibia</v>
      </c>
      <c r="L477" s="525" t="s">
        <v>526</v>
      </c>
      <c r="M477" s="455" t="str">
        <f t="shared" si="18"/>
        <v/>
      </c>
    </row>
    <row r="478" spans="1:13" ht="15.75" customHeight="1">
      <c r="A478" s="523" t="s">
        <v>528</v>
      </c>
      <c r="B478" s="474" t="s">
        <v>2706</v>
      </c>
      <c r="C478" s="523" t="s">
        <v>2707</v>
      </c>
      <c r="D478" s="453" t="str">
        <f t="shared" si="17"/>
        <v>NCL Neukaledonien</v>
      </c>
      <c r="E478" s="451" t="s">
        <v>2708</v>
      </c>
      <c r="F478" s="454" t="s">
        <v>2709</v>
      </c>
      <c r="G478" s="451" t="s">
        <v>2710</v>
      </c>
      <c r="H478" s="451" t="s">
        <v>2711</v>
      </c>
      <c r="I478" s="451" t="s">
        <v>2712</v>
      </c>
      <c r="J478" s="454" t="str">
        <f t="shared" si="19"/>
        <v>[pt]Neukaledonien</v>
      </c>
      <c r="K478" s="454" t="str">
        <f t="shared" si="20"/>
        <v>[gr]Neukaledonien</v>
      </c>
      <c r="L478" s="525" t="s">
        <v>528</v>
      </c>
      <c r="M478" s="455" t="str">
        <f t="shared" si="18"/>
        <v/>
      </c>
    </row>
    <row r="479" spans="1:13" ht="15.75" customHeight="1">
      <c r="A479" s="523" t="s">
        <v>530</v>
      </c>
      <c r="B479" s="474" t="s">
        <v>2713</v>
      </c>
      <c r="C479" s="523" t="s">
        <v>2714</v>
      </c>
      <c r="D479" s="453" t="str">
        <f t="shared" si="17"/>
        <v>NER Niger</v>
      </c>
      <c r="E479" s="451" t="s">
        <v>529</v>
      </c>
      <c r="F479" s="454" t="s">
        <v>2715</v>
      </c>
      <c r="G479" s="451" t="s">
        <v>2715</v>
      </c>
      <c r="H479" s="451" t="s">
        <v>2716</v>
      </c>
      <c r="I479" s="451" t="s">
        <v>529</v>
      </c>
      <c r="J479" s="454" t="str">
        <f t="shared" si="19"/>
        <v>[pt]Niger</v>
      </c>
      <c r="K479" s="454" t="str">
        <f t="shared" si="20"/>
        <v>[gr]Niger</v>
      </c>
      <c r="L479" s="525" t="s">
        <v>530</v>
      </c>
      <c r="M479" s="455" t="str">
        <f t="shared" si="18"/>
        <v/>
      </c>
    </row>
    <row r="480" spans="1:13" ht="15.75" customHeight="1">
      <c r="A480" s="523" t="s">
        <v>532</v>
      </c>
      <c r="B480" s="474" t="s">
        <v>2717</v>
      </c>
      <c r="C480" s="523" t="s">
        <v>2718</v>
      </c>
      <c r="D480" s="453" t="str">
        <f t="shared" si="17"/>
        <v>NGA Nigeria</v>
      </c>
      <c r="E480" s="451" t="s">
        <v>531</v>
      </c>
      <c r="F480" s="454" t="s">
        <v>2719</v>
      </c>
      <c r="G480" s="451" t="s">
        <v>2719</v>
      </c>
      <c r="H480" s="451" t="s">
        <v>531</v>
      </c>
      <c r="I480" s="451" t="s">
        <v>2720</v>
      </c>
      <c r="J480" s="454" t="str">
        <f t="shared" si="19"/>
        <v>[pt]Nigeria</v>
      </c>
      <c r="K480" s="454" t="str">
        <f t="shared" si="20"/>
        <v>[gr]Nigeria</v>
      </c>
      <c r="L480" s="525" t="s">
        <v>532</v>
      </c>
      <c r="M480" s="455" t="str">
        <f t="shared" si="18"/>
        <v/>
      </c>
    </row>
    <row r="481" spans="1:13" ht="15.75" customHeight="1">
      <c r="A481" s="523" t="s">
        <v>534</v>
      </c>
      <c r="B481" s="474" t="s">
        <v>2721</v>
      </c>
      <c r="C481" s="523" t="s">
        <v>2722</v>
      </c>
      <c r="D481" s="453" t="str">
        <f t="shared" si="17"/>
        <v>NIC Nicaragua</v>
      </c>
      <c r="E481" s="451" t="s">
        <v>533</v>
      </c>
      <c r="F481" s="454" t="s">
        <v>2723</v>
      </c>
      <c r="G481" s="451" t="s">
        <v>2723</v>
      </c>
      <c r="H481" s="451" t="s">
        <v>533</v>
      </c>
      <c r="I481" s="451" t="s">
        <v>533</v>
      </c>
      <c r="J481" s="454" t="str">
        <f t="shared" si="19"/>
        <v>[pt]Nicaragua</v>
      </c>
      <c r="K481" s="454" t="str">
        <f t="shared" si="20"/>
        <v>[gr]Nicaragua</v>
      </c>
      <c r="L481" s="525" t="s">
        <v>534</v>
      </c>
      <c r="M481" s="455" t="str">
        <f t="shared" si="18"/>
        <v/>
      </c>
    </row>
    <row r="482" spans="1:13" ht="15.75" customHeight="1">
      <c r="A482" s="523" t="s">
        <v>536</v>
      </c>
      <c r="B482" s="474" t="s">
        <v>2724</v>
      </c>
      <c r="C482" s="523" t="s">
        <v>2725</v>
      </c>
      <c r="D482" s="453" t="str">
        <f t="shared" si="17"/>
        <v>NLD Niederlande</v>
      </c>
      <c r="E482" s="451" t="s">
        <v>2726</v>
      </c>
      <c r="F482" s="454" t="s">
        <v>2727</v>
      </c>
      <c r="G482" s="451" t="s">
        <v>2728</v>
      </c>
      <c r="H482" s="451" t="s">
        <v>2729</v>
      </c>
      <c r="I482" s="451" t="s">
        <v>2730</v>
      </c>
      <c r="J482" s="454" t="str">
        <f t="shared" si="19"/>
        <v>[pt]Niederlande</v>
      </c>
      <c r="K482" s="454" t="str">
        <f t="shared" si="20"/>
        <v>[gr]Niederlande</v>
      </c>
      <c r="L482" s="525" t="s">
        <v>536</v>
      </c>
      <c r="M482" s="455" t="str">
        <f t="shared" si="18"/>
        <v/>
      </c>
    </row>
    <row r="483" spans="1:13" ht="15.75" customHeight="1">
      <c r="A483" s="523" t="s">
        <v>538</v>
      </c>
      <c r="B483" s="474" t="s">
        <v>2731</v>
      </c>
      <c r="C483" s="523" t="s">
        <v>2732</v>
      </c>
      <c r="D483" s="453" t="str">
        <f t="shared" si="17"/>
        <v>NOR Norwegen</v>
      </c>
      <c r="E483" s="451" t="s">
        <v>2733</v>
      </c>
      <c r="F483" s="454" t="s">
        <v>2734</v>
      </c>
      <c r="G483" s="451" t="s">
        <v>2735</v>
      </c>
      <c r="H483" s="451" t="s">
        <v>2736</v>
      </c>
      <c r="I483" s="451" t="s">
        <v>2737</v>
      </c>
      <c r="J483" s="454" t="str">
        <f t="shared" si="19"/>
        <v>[pt]Norwegen</v>
      </c>
      <c r="K483" s="454" t="str">
        <f t="shared" si="20"/>
        <v>[gr]Norwegen</v>
      </c>
      <c r="L483" s="525" t="s">
        <v>538</v>
      </c>
      <c r="M483" s="455" t="str">
        <f t="shared" si="18"/>
        <v/>
      </c>
    </row>
    <row r="484" spans="1:13" ht="15.75" customHeight="1">
      <c r="A484" s="523" t="s">
        <v>540</v>
      </c>
      <c r="B484" s="474" t="s">
        <v>2738</v>
      </c>
      <c r="C484" s="523" t="s">
        <v>2739</v>
      </c>
      <c r="D484" s="453" t="str">
        <f t="shared" si="17"/>
        <v>NPL Nepal</v>
      </c>
      <c r="E484" s="451" t="s">
        <v>539</v>
      </c>
      <c r="F484" s="454" t="s">
        <v>2740</v>
      </c>
      <c r="G484" s="451" t="s">
        <v>2740</v>
      </c>
      <c r="H484" s="451" t="s">
        <v>539</v>
      </c>
      <c r="I484" s="451" t="s">
        <v>2741</v>
      </c>
      <c r="J484" s="454" t="str">
        <f t="shared" si="19"/>
        <v>[pt]Nepal</v>
      </c>
      <c r="K484" s="454" t="str">
        <f t="shared" si="20"/>
        <v>[gr]Nepal</v>
      </c>
      <c r="L484" s="525" t="s">
        <v>540</v>
      </c>
      <c r="M484" s="455" t="str">
        <f t="shared" si="18"/>
        <v/>
      </c>
    </row>
    <row r="485" spans="1:13" ht="15.75" customHeight="1">
      <c r="A485" s="523" t="s">
        <v>542</v>
      </c>
      <c r="B485" s="474" t="s">
        <v>2742</v>
      </c>
      <c r="C485" s="523" t="s">
        <v>2743</v>
      </c>
      <c r="D485" s="453" t="str">
        <f t="shared" si="17"/>
        <v>NRU Nauru</v>
      </c>
      <c r="E485" s="451" t="s">
        <v>541</v>
      </c>
      <c r="F485" s="454" t="s">
        <v>2744</v>
      </c>
      <c r="G485" s="451" t="s">
        <v>2744</v>
      </c>
      <c r="H485" s="451" t="s">
        <v>541</v>
      </c>
      <c r="I485" s="451" t="s">
        <v>541</v>
      </c>
      <c r="J485" s="454" t="str">
        <f t="shared" si="19"/>
        <v>[pt]Nauru</v>
      </c>
      <c r="K485" s="454" t="str">
        <f t="shared" si="20"/>
        <v>[gr]Nauru</v>
      </c>
      <c r="L485" s="525" t="s">
        <v>542</v>
      </c>
      <c r="M485" s="455" t="str">
        <f t="shared" si="18"/>
        <v/>
      </c>
    </row>
    <row r="486" spans="1:13" ht="15.75" customHeight="1">
      <c r="A486" s="523" t="s">
        <v>544</v>
      </c>
      <c r="B486" s="474" t="s">
        <v>2745</v>
      </c>
      <c r="C486" s="523" t="s">
        <v>2746</v>
      </c>
      <c r="D486" s="453" t="str">
        <f t="shared" si="17"/>
        <v>NZL Neuseeland</v>
      </c>
      <c r="E486" s="451" t="s">
        <v>2747</v>
      </c>
      <c r="F486" s="454" t="s">
        <v>2748</v>
      </c>
      <c r="G486" s="451" t="s">
        <v>2749</v>
      </c>
      <c r="H486" s="451" t="s">
        <v>2750</v>
      </c>
      <c r="I486" s="451" t="s">
        <v>2751</v>
      </c>
      <c r="J486" s="454" t="str">
        <f t="shared" si="19"/>
        <v>[pt]Neuseeland</v>
      </c>
      <c r="K486" s="454" t="str">
        <f t="shared" si="20"/>
        <v>[gr]Neuseeland</v>
      </c>
      <c r="L486" s="525" t="s">
        <v>544</v>
      </c>
      <c r="M486" s="455" t="str">
        <f t="shared" si="18"/>
        <v/>
      </c>
    </row>
    <row r="487" spans="1:13" ht="15.75" customHeight="1">
      <c r="A487" s="523" t="s">
        <v>546</v>
      </c>
      <c r="B487" s="474" t="s">
        <v>2752</v>
      </c>
      <c r="C487" s="523" t="s">
        <v>2753</v>
      </c>
      <c r="D487" s="453" t="str">
        <f t="shared" si="17"/>
        <v>OMN Oman</v>
      </c>
      <c r="E487" s="451" t="s">
        <v>545</v>
      </c>
      <c r="F487" s="454" t="s">
        <v>2754</v>
      </c>
      <c r="G487" s="451" t="s">
        <v>2754</v>
      </c>
      <c r="H487" s="451" t="s">
        <v>2755</v>
      </c>
      <c r="I487" s="451" t="s">
        <v>545</v>
      </c>
      <c r="J487" s="454" t="str">
        <f t="shared" si="19"/>
        <v>[pt]Oman</v>
      </c>
      <c r="K487" s="454" t="str">
        <f t="shared" si="20"/>
        <v>[gr]Oman</v>
      </c>
      <c r="L487" s="525" t="s">
        <v>546</v>
      </c>
      <c r="M487" s="455" t="str">
        <f t="shared" si="18"/>
        <v/>
      </c>
    </row>
    <row r="488" spans="1:13" ht="15.75" customHeight="1">
      <c r="A488" s="523" t="s">
        <v>548</v>
      </c>
      <c r="B488" s="474" t="s">
        <v>2756</v>
      </c>
      <c r="C488" s="523" t="s">
        <v>2757</v>
      </c>
      <c r="D488" s="453" t="str">
        <f t="shared" si="17"/>
        <v>PAK Pakistan</v>
      </c>
      <c r="E488" s="451" t="s">
        <v>547</v>
      </c>
      <c r="F488" s="454" t="s">
        <v>2758</v>
      </c>
      <c r="G488" s="451" t="s">
        <v>2758</v>
      </c>
      <c r="H488" s="451" t="s">
        <v>2759</v>
      </c>
      <c r="I488" s="451" t="s">
        <v>547</v>
      </c>
      <c r="J488" s="454" t="str">
        <f t="shared" si="19"/>
        <v>[pt]Pakistan</v>
      </c>
      <c r="K488" s="454" t="str">
        <f t="shared" si="20"/>
        <v>[gr]Pakistan</v>
      </c>
      <c r="L488" s="525" t="s">
        <v>548</v>
      </c>
      <c r="M488" s="455" t="str">
        <f t="shared" si="18"/>
        <v/>
      </c>
    </row>
    <row r="489" spans="1:13" ht="15.75" customHeight="1">
      <c r="A489" s="523" t="s">
        <v>550</v>
      </c>
      <c r="B489" s="474" t="s">
        <v>2760</v>
      </c>
      <c r="C489" s="523" t="s">
        <v>2761</v>
      </c>
      <c r="D489" s="453" t="str">
        <f t="shared" si="17"/>
        <v>PAN Panama</v>
      </c>
      <c r="E489" s="451" t="s">
        <v>549</v>
      </c>
      <c r="F489" s="454" t="s">
        <v>2762</v>
      </c>
      <c r="G489" s="451" t="s">
        <v>2763</v>
      </c>
      <c r="H489" s="451" t="s">
        <v>2764</v>
      </c>
      <c r="I489" s="451" t="s">
        <v>549</v>
      </c>
      <c r="J489" s="454" t="str">
        <f t="shared" ref="J489:J520" si="21">"[pt]"&amp;E489</f>
        <v>[pt]Panama</v>
      </c>
      <c r="K489" s="454" t="str">
        <f t="shared" ref="K489:K520" si="22">"[gr]"&amp;E489</f>
        <v>[gr]Panama</v>
      </c>
      <c r="L489" s="525" t="s">
        <v>550</v>
      </c>
      <c r="M489" s="455" t="str">
        <f t="shared" si="18"/>
        <v/>
      </c>
    </row>
    <row r="490" spans="1:13" ht="15.75" customHeight="1">
      <c r="A490" s="523" t="s">
        <v>552</v>
      </c>
      <c r="B490" s="474" t="s">
        <v>2765</v>
      </c>
      <c r="C490" s="523" t="s">
        <v>2766</v>
      </c>
      <c r="D490" s="453" t="str">
        <f t="shared" si="17"/>
        <v>PER Peru</v>
      </c>
      <c r="E490" s="451" t="s">
        <v>551</v>
      </c>
      <c r="F490" s="454" t="s">
        <v>2767</v>
      </c>
      <c r="G490" s="451" t="s">
        <v>2768</v>
      </c>
      <c r="H490" s="451" t="s">
        <v>2769</v>
      </c>
      <c r="I490" s="451" t="s">
        <v>2770</v>
      </c>
      <c r="J490" s="454" t="str">
        <f t="shared" si="21"/>
        <v>[pt]Peru</v>
      </c>
      <c r="K490" s="454" t="str">
        <f t="shared" si="22"/>
        <v>[gr]Peru</v>
      </c>
      <c r="L490" s="525" t="s">
        <v>552</v>
      </c>
      <c r="M490" s="455" t="str">
        <f t="shared" si="18"/>
        <v/>
      </c>
    </row>
    <row r="491" spans="1:13" ht="15.75" customHeight="1">
      <c r="A491" s="523" t="s">
        <v>554</v>
      </c>
      <c r="B491" s="474" t="s">
        <v>2771</v>
      </c>
      <c r="C491" s="523" t="s">
        <v>2772</v>
      </c>
      <c r="D491" s="453" t="str">
        <f t="shared" si="17"/>
        <v>PHL Philippinen</v>
      </c>
      <c r="E491" s="451" t="s">
        <v>2773</v>
      </c>
      <c r="F491" s="454" t="s">
        <v>2774</v>
      </c>
      <c r="G491" s="451" t="s">
        <v>2775</v>
      </c>
      <c r="H491" s="451" t="s">
        <v>2776</v>
      </c>
      <c r="I491" s="451" t="s">
        <v>553</v>
      </c>
      <c r="J491" s="454" t="str">
        <f t="shared" si="21"/>
        <v>[pt]Philippinen</v>
      </c>
      <c r="K491" s="454" t="str">
        <f t="shared" si="22"/>
        <v>[gr]Philippinen</v>
      </c>
      <c r="L491" s="525" t="s">
        <v>554</v>
      </c>
      <c r="M491" s="455" t="str">
        <f t="shared" si="18"/>
        <v/>
      </c>
    </row>
    <row r="492" spans="1:13" ht="15.75" customHeight="1">
      <c r="A492" s="523" t="s">
        <v>556</v>
      </c>
      <c r="B492" s="474" t="s">
        <v>2777</v>
      </c>
      <c r="C492" s="523" t="s">
        <v>2778</v>
      </c>
      <c r="D492" s="453" t="str">
        <f t="shared" si="17"/>
        <v>PLW Palau</v>
      </c>
      <c r="E492" s="451" t="s">
        <v>555</v>
      </c>
      <c r="F492" s="454" t="s">
        <v>2779</v>
      </c>
      <c r="G492" s="451" t="s">
        <v>2779</v>
      </c>
      <c r="H492" s="451" t="s">
        <v>2780</v>
      </c>
      <c r="I492" s="451" t="s">
        <v>2780</v>
      </c>
      <c r="J492" s="454" t="str">
        <f t="shared" si="21"/>
        <v>[pt]Palau</v>
      </c>
      <c r="K492" s="454" t="str">
        <f t="shared" si="22"/>
        <v>[gr]Palau</v>
      </c>
      <c r="L492" s="525" t="s">
        <v>556</v>
      </c>
      <c r="M492" s="455" t="str">
        <f t="shared" si="18"/>
        <v/>
      </c>
    </row>
    <row r="493" spans="1:13" ht="15.75" customHeight="1">
      <c r="A493" s="523" t="s">
        <v>558</v>
      </c>
      <c r="B493" s="474" t="s">
        <v>2781</v>
      </c>
      <c r="C493" s="523" t="s">
        <v>2782</v>
      </c>
      <c r="D493" s="453" t="str">
        <f t="shared" si="17"/>
        <v>PNG Papua-Neuguinea</v>
      </c>
      <c r="E493" s="451" t="s">
        <v>2783</v>
      </c>
      <c r="F493" s="454" t="s">
        <v>2784</v>
      </c>
      <c r="G493" s="451" t="s">
        <v>2785</v>
      </c>
      <c r="H493" s="451" t="s">
        <v>2786</v>
      </c>
      <c r="I493" s="451" t="s">
        <v>2787</v>
      </c>
      <c r="J493" s="454" t="str">
        <f t="shared" si="21"/>
        <v>[pt]Papua-Neuguinea</v>
      </c>
      <c r="K493" s="454" t="str">
        <f t="shared" si="22"/>
        <v>[gr]Papua-Neuguinea</v>
      </c>
      <c r="L493" s="525" t="s">
        <v>558</v>
      </c>
      <c r="M493" s="455" t="str">
        <f t="shared" si="18"/>
        <v/>
      </c>
    </row>
    <row r="494" spans="1:13" ht="15.75" customHeight="1">
      <c r="A494" s="523" t="s">
        <v>560</v>
      </c>
      <c r="B494" s="474" t="s">
        <v>2788</v>
      </c>
      <c r="C494" s="523" t="s">
        <v>2789</v>
      </c>
      <c r="D494" s="453" t="str">
        <f t="shared" si="17"/>
        <v>POL Polen</v>
      </c>
      <c r="E494" s="451" t="s">
        <v>2790</v>
      </c>
      <c r="F494" s="454" t="s">
        <v>2791</v>
      </c>
      <c r="G494" s="451" t="s">
        <v>2792</v>
      </c>
      <c r="H494" s="451" t="s">
        <v>2793</v>
      </c>
      <c r="I494" s="451" t="s">
        <v>2794</v>
      </c>
      <c r="J494" s="454" t="str">
        <f t="shared" si="21"/>
        <v>[pt]Polen</v>
      </c>
      <c r="K494" s="454" t="str">
        <f t="shared" si="22"/>
        <v>[gr]Polen</v>
      </c>
      <c r="L494" s="525" t="s">
        <v>560</v>
      </c>
      <c r="M494" s="455" t="str">
        <f t="shared" si="18"/>
        <v/>
      </c>
    </row>
    <row r="495" spans="1:13" ht="15.75" customHeight="1">
      <c r="A495" s="523" t="s">
        <v>562</v>
      </c>
      <c r="B495" s="474" t="s">
        <v>2795</v>
      </c>
      <c r="C495" s="523" t="s">
        <v>2796</v>
      </c>
      <c r="D495" s="453" t="str">
        <f t="shared" si="17"/>
        <v>PRI Puerto Rico</v>
      </c>
      <c r="E495" s="451" t="s">
        <v>561</v>
      </c>
      <c r="F495" s="454" t="s">
        <v>2797</v>
      </c>
      <c r="G495" s="451" t="s">
        <v>2798</v>
      </c>
      <c r="H495" s="451" t="s">
        <v>561</v>
      </c>
      <c r="I495" s="451" t="s">
        <v>561</v>
      </c>
      <c r="J495" s="454" t="str">
        <f t="shared" si="21"/>
        <v>[pt]Puerto Rico</v>
      </c>
      <c r="K495" s="454" t="str">
        <f t="shared" si="22"/>
        <v>[gr]Puerto Rico</v>
      </c>
      <c r="L495" s="525" t="s">
        <v>562</v>
      </c>
      <c r="M495" s="455" t="str">
        <f t="shared" si="18"/>
        <v/>
      </c>
    </row>
    <row r="496" spans="1:13" ht="15.75" customHeight="1">
      <c r="A496" s="523" t="s">
        <v>564</v>
      </c>
      <c r="B496" s="474" t="s">
        <v>2799</v>
      </c>
      <c r="C496" s="523" t="s">
        <v>2800</v>
      </c>
      <c r="D496" s="453" t="str">
        <f t="shared" si="17"/>
        <v>PRK Korea, Demokratische Volksrepublik (Nordkorea)</v>
      </c>
      <c r="E496" s="451" t="s">
        <v>2801</v>
      </c>
      <c r="F496" s="454" t="s">
        <v>2802</v>
      </c>
      <c r="G496" s="451" t="s">
        <v>2803</v>
      </c>
      <c r="H496" s="451" t="s">
        <v>2804</v>
      </c>
      <c r="I496" s="451" t="s">
        <v>2805</v>
      </c>
      <c r="J496" s="454" t="str">
        <f t="shared" si="21"/>
        <v>[pt]Korea, Demokratische Volksrepublik (Nordkorea)</v>
      </c>
      <c r="K496" s="454" t="str">
        <f t="shared" si="22"/>
        <v>[gr]Korea, Demokratische Volksrepublik (Nordkorea)</v>
      </c>
      <c r="L496" s="525" t="s">
        <v>564</v>
      </c>
      <c r="M496" s="455" t="str">
        <f t="shared" si="18"/>
        <v/>
      </c>
    </row>
    <row r="497" spans="1:13" ht="15.75" customHeight="1">
      <c r="A497" s="523" t="s">
        <v>566</v>
      </c>
      <c r="B497" s="474" t="s">
        <v>2806</v>
      </c>
      <c r="C497" s="523" t="s">
        <v>2807</v>
      </c>
      <c r="D497" s="453" t="str">
        <f t="shared" si="17"/>
        <v>PRT Portugal</v>
      </c>
      <c r="E497" s="451" t="s">
        <v>565</v>
      </c>
      <c r="F497" s="454" t="s">
        <v>2808</v>
      </c>
      <c r="G497" s="451" t="s">
        <v>2809</v>
      </c>
      <c r="H497" s="451" t="s">
        <v>565</v>
      </c>
      <c r="I497" s="451" t="s">
        <v>565</v>
      </c>
      <c r="J497" s="454" t="str">
        <f t="shared" si="21"/>
        <v>[pt]Portugal</v>
      </c>
      <c r="K497" s="454" t="str">
        <f t="shared" si="22"/>
        <v>[gr]Portugal</v>
      </c>
      <c r="L497" s="525" t="s">
        <v>566</v>
      </c>
      <c r="M497" s="455" t="str">
        <f t="shared" si="18"/>
        <v/>
      </c>
    </row>
    <row r="498" spans="1:13" ht="15.75" customHeight="1">
      <c r="A498" s="523" t="s">
        <v>568</v>
      </c>
      <c r="B498" s="474" t="s">
        <v>2810</v>
      </c>
      <c r="C498" s="523" t="s">
        <v>2811</v>
      </c>
      <c r="D498" s="453" t="str">
        <f t="shared" si="17"/>
        <v>PRY Paraguay</v>
      </c>
      <c r="E498" s="451" t="s">
        <v>567</v>
      </c>
      <c r="F498" s="454" t="s">
        <v>2812</v>
      </c>
      <c r="G498" s="451" t="s">
        <v>2812</v>
      </c>
      <c r="H498" s="451" t="s">
        <v>567</v>
      </c>
      <c r="I498" s="451" t="s">
        <v>567</v>
      </c>
      <c r="J498" s="454" t="str">
        <f t="shared" si="21"/>
        <v>[pt]Paraguay</v>
      </c>
      <c r="K498" s="454" t="str">
        <f t="shared" si="22"/>
        <v>[gr]Paraguay</v>
      </c>
      <c r="L498" s="525" t="s">
        <v>568</v>
      </c>
      <c r="M498" s="455" t="str">
        <f t="shared" si="18"/>
        <v/>
      </c>
    </row>
    <row r="499" spans="1:13" ht="15.75" customHeight="1">
      <c r="A499" s="523" t="s">
        <v>570</v>
      </c>
      <c r="B499" s="474" t="s">
        <v>2813</v>
      </c>
      <c r="C499" s="523" t="s">
        <v>2814</v>
      </c>
      <c r="D499" s="453" t="str">
        <f t="shared" si="17"/>
        <v>PSE Palästinensische Autonomiegebiete</v>
      </c>
      <c r="E499" s="451" t="s">
        <v>2815</v>
      </c>
      <c r="F499" s="454" t="s">
        <v>2816</v>
      </c>
      <c r="G499" s="451" t="s">
        <v>2817</v>
      </c>
      <c r="H499" s="451" t="s">
        <v>2818</v>
      </c>
      <c r="I499" s="451" t="s">
        <v>2819</v>
      </c>
      <c r="J499" s="454" t="str">
        <f t="shared" si="21"/>
        <v>[pt]Palästinensische Autonomiegebiete</v>
      </c>
      <c r="K499" s="454" t="str">
        <f t="shared" si="22"/>
        <v>[gr]Palästinensische Autonomiegebiete</v>
      </c>
      <c r="L499" s="525" t="s">
        <v>570</v>
      </c>
      <c r="M499" s="455" t="str">
        <f t="shared" si="18"/>
        <v/>
      </c>
    </row>
    <row r="500" spans="1:13" ht="15.75" customHeight="1">
      <c r="A500" s="523" t="s">
        <v>572</v>
      </c>
      <c r="B500" s="474" t="s">
        <v>2820</v>
      </c>
      <c r="C500" s="523" t="s">
        <v>2821</v>
      </c>
      <c r="D500" s="453" t="str">
        <f t="shared" si="17"/>
        <v>PYF Französisch-Polynesien</v>
      </c>
      <c r="E500" s="451" t="s">
        <v>2822</v>
      </c>
      <c r="F500" s="454" t="s">
        <v>2823</v>
      </c>
      <c r="G500" s="451" t="s">
        <v>2824</v>
      </c>
      <c r="H500" s="451" t="s">
        <v>2825</v>
      </c>
      <c r="I500" s="451" t="s">
        <v>2826</v>
      </c>
      <c r="J500" s="454" t="str">
        <f t="shared" si="21"/>
        <v>[pt]Französisch-Polynesien</v>
      </c>
      <c r="K500" s="454" t="str">
        <f t="shared" si="22"/>
        <v>[gr]Französisch-Polynesien</v>
      </c>
      <c r="L500" s="525" t="s">
        <v>572</v>
      </c>
      <c r="M500" s="455" t="str">
        <f t="shared" si="18"/>
        <v/>
      </c>
    </row>
    <row r="501" spans="1:13" ht="15.75" customHeight="1">
      <c r="A501" s="523" t="s">
        <v>574</v>
      </c>
      <c r="B501" s="474" t="s">
        <v>2827</v>
      </c>
      <c r="C501" s="523" t="s">
        <v>2828</v>
      </c>
      <c r="D501" s="453" t="str">
        <f t="shared" si="17"/>
        <v>QAT Katar</v>
      </c>
      <c r="E501" s="451" t="s">
        <v>2829</v>
      </c>
      <c r="F501" s="454" t="s">
        <v>2830</v>
      </c>
      <c r="G501" s="451" t="s">
        <v>2830</v>
      </c>
      <c r="H501" s="451" t="s">
        <v>2831</v>
      </c>
      <c r="I501" s="451" t="s">
        <v>573</v>
      </c>
      <c r="J501" s="454" t="str">
        <f t="shared" si="21"/>
        <v>[pt]Katar</v>
      </c>
      <c r="K501" s="454" t="str">
        <f t="shared" si="22"/>
        <v>[gr]Katar</v>
      </c>
      <c r="L501" s="525" t="s">
        <v>574</v>
      </c>
      <c r="M501" s="455" t="str">
        <f t="shared" si="18"/>
        <v/>
      </c>
    </row>
    <row r="502" spans="1:13" ht="15.75" customHeight="1">
      <c r="A502" s="523" t="s">
        <v>576</v>
      </c>
      <c r="B502" s="474" t="s">
        <v>2832</v>
      </c>
      <c r="C502" s="523" t="s">
        <v>2833</v>
      </c>
      <c r="D502" s="453" t="str">
        <f t="shared" si="17"/>
        <v>ROU Rumänien</v>
      </c>
      <c r="E502" s="451" t="s">
        <v>2834</v>
      </c>
      <c r="F502" s="454" t="s">
        <v>2835</v>
      </c>
      <c r="G502" s="451" t="s">
        <v>2835</v>
      </c>
      <c r="H502" s="451" t="s">
        <v>2836</v>
      </c>
      <c r="I502" s="451" t="s">
        <v>2837</v>
      </c>
      <c r="J502" s="454" t="str">
        <f t="shared" si="21"/>
        <v>[pt]Rumänien</v>
      </c>
      <c r="K502" s="454" t="str">
        <f t="shared" si="22"/>
        <v>[gr]Rumänien</v>
      </c>
      <c r="L502" s="525" t="s">
        <v>576</v>
      </c>
      <c r="M502" s="455" t="str">
        <f t="shared" si="18"/>
        <v/>
      </c>
    </row>
    <row r="503" spans="1:13" ht="15.75" customHeight="1">
      <c r="A503" s="523" t="s">
        <v>578</v>
      </c>
      <c r="B503" s="474" t="s">
        <v>2838</v>
      </c>
      <c r="C503" s="523" t="s">
        <v>2839</v>
      </c>
      <c r="D503" s="453" t="str">
        <f t="shared" si="17"/>
        <v>RUS Russische Föderation</v>
      </c>
      <c r="E503" s="451" t="s">
        <v>2840</v>
      </c>
      <c r="F503" s="454" t="s">
        <v>2841</v>
      </c>
      <c r="G503" s="451" t="s">
        <v>2842</v>
      </c>
      <c r="H503" s="451" t="s">
        <v>2843</v>
      </c>
      <c r="I503" s="451" t="s">
        <v>2844</v>
      </c>
      <c r="J503" s="454" t="str">
        <f t="shared" si="21"/>
        <v>[pt]Russische Föderation</v>
      </c>
      <c r="K503" s="454" t="str">
        <f t="shared" si="22"/>
        <v>[gr]Russische Föderation</v>
      </c>
      <c r="L503" s="525" t="s">
        <v>578</v>
      </c>
      <c r="M503" s="455" t="str">
        <f t="shared" si="18"/>
        <v/>
      </c>
    </row>
    <row r="504" spans="1:13" ht="15.75" customHeight="1">
      <c r="A504" s="523" t="s">
        <v>580</v>
      </c>
      <c r="B504" s="474" t="s">
        <v>2845</v>
      </c>
      <c r="C504" s="523" t="s">
        <v>2846</v>
      </c>
      <c r="D504" s="453" t="str">
        <f t="shared" si="17"/>
        <v>RWA Ruanda</v>
      </c>
      <c r="E504" s="451" t="s">
        <v>2847</v>
      </c>
      <c r="F504" s="454" t="s">
        <v>2848</v>
      </c>
      <c r="G504" s="451" t="s">
        <v>2849</v>
      </c>
      <c r="H504" s="451" t="s">
        <v>2847</v>
      </c>
      <c r="I504" s="451" t="s">
        <v>579</v>
      </c>
      <c r="J504" s="454" t="str">
        <f t="shared" si="21"/>
        <v>[pt]Ruanda</v>
      </c>
      <c r="K504" s="454" t="str">
        <f t="shared" si="22"/>
        <v>[gr]Ruanda</v>
      </c>
      <c r="L504" s="525" t="s">
        <v>580</v>
      </c>
      <c r="M504" s="455" t="str">
        <f t="shared" si="18"/>
        <v/>
      </c>
    </row>
    <row r="505" spans="1:13" ht="15.75" customHeight="1">
      <c r="A505" s="523" t="s">
        <v>582</v>
      </c>
      <c r="B505" s="474" t="s">
        <v>2850</v>
      </c>
      <c r="C505" s="523" t="s">
        <v>2851</v>
      </c>
      <c r="D505" s="453" t="str">
        <f t="shared" si="17"/>
        <v>SAU Saudi-Arabien</v>
      </c>
      <c r="E505" s="451" t="s">
        <v>2852</v>
      </c>
      <c r="F505" s="454" t="s">
        <v>2853</v>
      </c>
      <c r="G505" s="451" t="s">
        <v>2854</v>
      </c>
      <c r="H505" s="451" t="s">
        <v>2855</v>
      </c>
      <c r="I505" s="451" t="s">
        <v>2856</v>
      </c>
      <c r="J505" s="454" t="str">
        <f t="shared" si="21"/>
        <v>[pt]Saudi-Arabien</v>
      </c>
      <c r="K505" s="454" t="str">
        <f t="shared" si="22"/>
        <v>[gr]Saudi-Arabien</v>
      </c>
      <c r="L505" s="525" t="s">
        <v>582</v>
      </c>
      <c r="M505" s="455" t="str">
        <f t="shared" si="18"/>
        <v/>
      </c>
    </row>
    <row r="506" spans="1:13" ht="15.75" customHeight="1">
      <c r="A506" s="523" t="s">
        <v>584</v>
      </c>
      <c r="B506" s="474" t="s">
        <v>2857</v>
      </c>
      <c r="C506" s="523" t="s">
        <v>2858</v>
      </c>
      <c r="D506" s="453" t="str">
        <f t="shared" si="17"/>
        <v>SDN Sudan</v>
      </c>
      <c r="E506" s="451" t="s">
        <v>583</v>
      </c>
      <c r="F506" s="454" t="s">
        <v>2859</v>
      </c>
      <c r="G506" s="451" t="s">
        <v>2859</v>
      </c>
      <c r="H506" s="451" t="s">
        <v>2860</v>
      </c>
      <c r="I506" s="451" t="s">
        <v>2861</v>
      </c>
      <c r="J506" s="454" t="str">
        <f t="shared" si="21"/>
        <v>[pt]Sudan</v>
      </c>
      <c r="K506" s="454" t="str">
        <f t="shared" si="22"/>
        <v>[gr]Sudan</v>
      </c>
      <c r="L506" s="525" t="s">
        <v>584</v>
      </c>
      <c r="M506" s="455" t="str">
        <f t="shared" si="18"/>
        <v/>
      </c>
    </row>
    <row r="507" spans="1:13" ht="15.75" customHeight="1">
      <c r="A507" s="523" t="s">
        <v>586</v>
      </c>
      <c r="B507" s="474" t="s">
        <v>2862</v>
      </c>
      <c r="C507" s="523" t="s">
        <v>2863</v>
      </c>
      <c r="D507" s="453" t="str">
        <f t="shared" si="17"/>
        <v>SEN Senegal</v>
      </c>
      <c r="E507" s="451" t="s">
        <v>585</v>
      </c>
      <c r="F507" s="454" t="s">
        <v>2864</v>
      </c>
      <c r="G507" s="451" t="s">
        <v>2864</v>
      </c>
      <c r="H507" s="451" t="s">
        <v>585</v>
      </c>
      <c r="I507" s="451" t="s">
        <v>2865</v>
      </c>
      <c r="J507" s="454" t="str">
        <f t="shared" si="21"/>
        <v>[pt]Senegal</v>
      </c>
      <c r="K507" s="454" t="str">
        <f t="shared" si="22"/>
        <v>[gr]Senegal</v>
      </c>
      <c r="L507" s="525" t="s">
        <v>586</v>
      </c>
      <c r="M507" s="455" t="str">
        <f t="shared" si="18"/>
        <v/>
      </c>
    </row>
    <row r="508" spans="1:13" ht="15.75" customHeight="1">
      <c r="A508" s="523" t="s">
        <v>588</v>
      </c>
      <c r="B508" s="474" t="s">
        <v>2866</v>
      </c>
      <c r="C508" s="523" t="s">
        <v>2867</v>
      </c>
      <c r="D508" s="453" t="str">
        <f t="shared" si="17"/>
        <v>SGP Singapur</v>
      </c>
      <c r="E508" s="451" t="s">
        <v>2868</v>
      </c>
      <c r="F508" s="454" t="s">
        <v>2869</v>
      </c>
      <c r="G508" s="451" t="s">
        <v>2869</v>
      </c>
      <c r="H508" s="451" t="s">
        <v>2868</v>
      </c>
      <c r="I508" s="451" t="s">
        <v>2870</v>
      </c>
      <c r="J508" s="454" t="str">
        <f t="shared" si="21"/>
        <v>[pt]Singapur</v>
      </c>
      <c r="K508" s="454" t="str">
        <f t="shared" si="22"/>
        <v>[gr]Singapur</v>
      </c>
      <c r="L508" s="525" t="s">
        <v>588</v>
      </c>
      <c r="M508" s="455" t="str">
        <f t="shared" si="18"/>
        <v/>
      </c>
    </row>
    <row r="509" spans="1:13" ht="15.75" customHeight="1">
      <c r="A509" s="523" t="s">
        <v>590</v>
      </c>
      <c r="B509" s="474" t="s">
        <v>2871</v>
      </c>
      <c r="C509" s="523" t="s">
        <v>2872</v>
      </c>
      <c r="D509" s="453" t="str">
        <f t="shared" si="17"/>
        <v>SLB Salomonen</v>
      </c>
      <c r="E509" s="451" t="s">
        <v>2873</v>
      </c>
      <c r="F509" s="454" t="s">
        <v>2874</v>
      </c>
      <c r="G509" s="451" t="s">
        <v>2875</v>
      </c>
      <c r="H509" s="451" t="s">
        <v>2876</v>
      </c>
      <c r="I509" s="451" t="s">
        <v>2877</v>
      </c>
      <c r="J509" s="454" t="str">
        <f t="shared" si="21"/>
        <v>[pt]Salomonen</v>
      </c>
      <c r="K509" s="454" t="str">
        <f t="shared" si="22"/>
        <v>[gr]Salomonen</v>
      </c>
      <c r="L509" s="525" t="s">
        <v>590</v>
      </c>
      <c r="M509" s="455" t="str">
        <f t="shared" si="18"/>
        <v/>
      </c>
    </row>
    <row r="510" spans="1:13" ht="15.75" customHeight="1">
      <c r="A510" s="523" t="s">
        <v>592</v>
      </c>
      <c r="B510" s="474" t="s">
        <v>2878</v>
      </c>
      <c r="C510" s="523" t="s">
        <v>2879</v>
      </c>
      <c r="D510" s="453" t="str">
        <f t="shared" si="17"/>
        <v>SLE Sierra Leone</v>
      </c>
      <c r="E510" s="451" t="s">
        <v>591</v>
      </c>
      <c r="F510" s="454" t="s">
        <v>2880</v>
      </c>
      <c r="G510" s="451" t="s">
        <v>2880</v>
      </c>
      <c r="H510" s="451" t="s">
        <v>2881</v>
      </c>
      <c r="I510" s="451" t="s">
        <v>591</v>
      </c>
      <c r="J510" s="454" t="str">
        <f t="shared" si="21"/>
        <v>[pt]Sierra Leone</v>
      </c>
      <c r="K510" s="454" t="str">
        <f t="shared" si="22"/>
        <v>[gr]Sierra Leone</v>
      </c>
      <c r="L510" s="525" t="s">
        <v>592</v>
      </c>
      <c r="M510" s="455" t="str">
        <f t="shared" si="18"/>
        <v/>
      </c>
    </row>
    <row r="511" spans="1:13" ht="15.75" customHeight="1">
      <c r="A511" s="523" t="s">
        <v>594</v>
      </c>
      <c r="B511" s="474" t="s">
        <v>2882</v>
      </c>
      <c r="C511" s="523" t="s">
        <v>2883</v>
      </c>
      <c r="D511" s="453" t="str">
        <f t="shared" si="17"/>
        <v>SLV El Salvador</v>
      </c>
      <c r="E511" s="451" t="s">
        <v>593</v>
      </c>
      <c r="F511" s="454" t="s">
        <v>2884</v>
      </c>
      <c r="G511" s="451" t="s">
        <v>2884</v>
      </c>
      <c r="H511" s="451" t="s">
        <v>593</v>
      </c>
      <c r="I511" s="451" t="s">
        <v>2885</v>
      </c>
      <c r="J511" s="454" t="str">
        <f t="shared" si="21"/>
        <v>[pt]El Salvador</v>
      </c>
      <c r="K511" s="454" t="str">
        <f t="shared" si="22"/>
        <v>[gr]El Salvador</v>
      </c>
      <c r="L511" s="525" t="s">
        <v>594</v>
      </c>
      <c r="M511" s="455" t="str">
        <f t="shared" si="18"/>
        <v/>
      </c>
    </row>
    <row r="512" spans="1:13" ht="15.75" customHeight="1">
      <c r="A512" s="523" t="s">
        <v>596</v>
      </c>
      <c r="B512" s="474" t="s">
        <v>2886</v>
      </c>
      <c r="C512" s="523" t="s">
        <v>2887</v>
      </c>
      <c r="D512" s="453" t="str">
        <f t="shared" si="17"/>
        <v>SMR San Marino</v>
      </c>
      <c r="E512" s="451" t="s">
        <v>595</v>
      </c>
      <c r="F512" s="454" t="s">
        <v>2888</v>
      </c>
      <c r="G512" s="451" t="s">
        <v>2888</v>
      </c>
      <c r="H512" s="451" t="s">
        <v>595</v>
      </c>
      <c r="I512" s="451" t="s">
        <v>2889</v>
      </c>
      <c r="J512" s="454" t="str">
        <f t="shared" si="21"/>
        <v>[pt]San Marino</v>
      </c>
      <c r="K512" s="454" t="str">
        <f t="shared" si="22"/>
        <v>[gr]San Marino</v>
      </c>
      <c r="L512" s="525" t="s">
        <v>596</v>
      </c>
      <c r="M512" s="455" t="str">
        <f t="shared" si="18"/>
        <v/>
      </c>
    </row>
    <row r="513" spans="1:13" ht="15.75" customHeight="1">
      <c r="A513" s="523" t="s">
        <v>598</v>
      </c>
      <c r="B513" s="474" t="s">
        <v>2890</v>
      </c>
      <c r="C513" s="523" t="s">
        <v>2891</v>
      </c>
      <c r="D513" s="453" t="str">
        <f t="shared" si="17"/>
        <v>SOM Somalia</v>
      </c>
      <c r="E513" s="451" t="s">
        <v>597</v>
      </c>
      <c r="F513" s="454" t="s">
        <v>2892</v>
      </c>
      <c r="G513" s="451" t="s">
        <v>2892</v>
      </c>
      <c r="H513" s="451" t="s">
        <v>597</v>
      </c>
      <c r="I513" s="451" t="s">
        <v>2893</v>
      </c>
      <c r="J513" s="454" t="str">
        <f t="shared" si="21"/>
        <v>[pt]Somalia</v>
      </c>
      <c r="K513" s="454" t="str">
        <f t="shared" si="22"/>
        <v>[gr]Somalia</v>
      </c>
      <c r="L513" s="525" t="s">
        <v>598</v>
      </c>
      <c r="M513" s="455" t="str">
        <f t="shared" si="18"/>
        <v/>
      </c>
    </row>
    <row r="514" spans="1:13" ht="15.75" customHeight="1">
      <c r="A514" s="523" t="s">
        <v>600</v>
      </c>
      <c r="B514" s="474" t="s">
        <v>2894</v>
      </c>
      <c r="C514" s="523" t="s">
        <v>2895</v>
      </c>
      <c r="D514" s="453" t="str">
        <f t="shared" si="17"/>
        <v>SRB Serbien</v>
      </c>
      <c r="E514" s="451" t="s">
        <v>2896</v>
      </c>
      <c r="F514" s="454" t="s">
        <v>2897</v>
      </c>
      <c r="G514" s="451" t="s">
        <v>2897</v>
      </c>
      <c r="H514" s="451" t="s">
        <v>599</v>
      </c>
      <c r="I514" s="451" t="s">
        <v>2898</v>
      </c>
      <c r="J514" s="454" t="str">
        <f t="shared" si="21"/>
        <v>[pt]Serbien</v>
      </c>
      <c r="K514" s="454" t="str">
        <f t="shared" si="22"/>
        <v>[gr]Serbien</v>
      </c>
      <c r="L514" s="525" t="s">
        <v>600</v>
      </c>
      <c r="M514" s="455" t="str">
        <f t="shared" si="18"/>
        <v/>
      </c>
    </row>
    <row r="515" spans="1:13" ht="15.75" customHeight="1">
      <c r="A515" s="523" t="s">
        <v>602</v>
      </c>
      <c r="B515" s="474"/>
      <c r="C515" s="523" t="s">
        <v>2899</v>
      </c>
      <c r="D515" s="453" t="str">
        <f t="shared" si="17"/>
        <v>SSD Südsudan</v>
      </c>
      <c r="E515" s="451" t="s">
        <v>2900</v>
      </c>
      <c r="F515" s="454" t="s">
        <v>2901</v>
      </c>
      <c r="G515" s="451" t="s">
        <v>2902</v>
      </c>
      <c r="H515" s="451" t="s">
        <v>2903</v>
      </c>
      <c r="I515" s="451" t="s">
        <v>2904</v>
      </c>
      <c r="J515" s="454" t="str">
        <f t="shared" si="21"/>
        <v>[pt]Südsudan</v>
      </c>
      <c r="K515" s="454" t="str">
        <f t="shared" si="22"/>
        <v>[gr]Südsudan</v>
      </c>
      <c r="L515" s="525" t="s">
        <v>602</v>
      </c>
      <c r="M515" s="455" t="str">
        <f t="shared" si="18"/>
        <v/>
      </c>
    </row>
    <row r="516" spans="1:13" ht="15.75" customHeight="1">
      <c r="A516" s="523" t="s">
        <v>604</v>
      </c>
      <c r="B516" s="474" t="s">
        <v>2905</v>
      </c>
      <c r="C516" s="523" t="s">
        <v>2906</v>
      </c>
      <c r="D516" s="453" t="str">
        <f t="shared" si="17"/>
        <v>STP São Tomé und Príncipe</v>
      </c>
      <c r="E516" s="451" t="s">
        <v>2907</v>
      </c>
      <c r="F516" s="454" t="s">
        <v>2908</v>
      </c>
      <c r="G516" s="451" t="s">
        <v>2909</v>
      </c>
      <c r="H516" s="451" t="s">
        <v>2910</v>
      </c>
      <c r="I516" s="451" t="s">
        <v>2911</v>
      </c>
      <c r="J516" s="454" t="str">
        <f t="shared" si="21"/>
        <v>[pt]São Tomé und Príncipe</v>
      </c>
      <c r="K516" s="454" t="str">
        <f t="shared" si="22"/>
        <v>[gr]São Tomé und Príncipe</v>
      </c>
      <c r="L516" s="525" t="s">
        <v>604</v>
      </c>
      <c r="M516" s="455" t="str">
        <f t="shared" si="18"/>
        <v/>
      </c>
    </row>
    <row r="517" spans="1:13" ht="15.75" customHeight="1">
      <c r="A517" s="523" t="s">
        <v>606</v>
      </c>
      <c r="B517" s="474" t="s">
        <v>2912</v>
      </c>
      <c r="C517" s="523" t="s">
        <v>2913</v>
      </c>
      <c r="D517" s="453" t="str">
        <f t="shared" si="17"/>
        <v>SUR Suriname</v>
      </c>
      <c r="E517" s="451" t="s">
        <v>605</v>
      </c>
      <c r="F517" s="454" t="s">
        <v>2914</v>
      </c>
      <c r="G517" s="451" t="s">
        <v>2914</v>
      </c>
      <c r="H517" s="451" t="s">
        <v>2915</v>
      </c>
      <c r="I517" s="451" t="s">
        <v>2915</v>
      </c>
      <c r="J517" s="454" t="str">
        <f t="shared" si="21"/>
        <v>[pt]Suriname</v>
      </c>
      <c r="K517" s="454" t="str">
        <f t="shared" si="22"/>
        <v>[gr]Suriname</v>
      </c>
      <c r="L517" s="525" t="s">
        <v>606</v>
      </c>
      <c r="M517" s="455" t="str">
        <f t="shared" si="18"/>
        <v/>
      </c>
    </row>
    <row r="518" spans="1:13" ht="15.75" customHeight="1">
      <c r="A518" s="523" t="s">
        <v>608</v>
      </c>
      <c r="B518" s="474" t="s">
        <v>2916</v>
      </c>
      <c r="C518" s="523" t="s">
        <v>2917</v>
      </c>
      <c r="D518" s="453" t="str">
        <f t="shared" si="17"/>
        <v>SVK Slowakei</v>
      </c>
      <c r="E518" s="451" t="s">
        <v>2918</v>
      </c>
      <c r="F518" s="454" t="s">
        <v>2919</v>
      </c>
      <c r="G518" s="451" t="s">
        <v>2920</v>
      </c>
      <c r="H518" s="451" t="s">
        <v>2921</v>
      </c>
      <c r="I518" s="451" t="s">
        <v>2922</v>
      </c>
      <c r="J518" s="454" t="str">
        <f t="shared" si="21"/>
        <v>[pt]Slowakei</v>
      </c>
      <c r="K518" s="454" t="str">
        <f t="shared" si="22"/>
        <v>[gr]Slowakei</v>
      </c>
      <c r="L518" s="525" t="s">
        <v>608</v>
      </c>
      <c r="M518" s="455" t="str">
        <f t="shared" si="18"/>
        <v/>
      </c>
    </row>
    <row r="519" spans="1:13" ht="15.75" customHeight="1">
      <c r="A519" s="523" t="s">
        <v>610</v>
      </c>
      <c r="B519" s="474" t="s">
        <v>2923</v>
      </c>
      <c r="C519" s="523" t="s">
        <v>2924</v>
      </c>
      <c r="D519" s="453" t="str">
        <f t="shared" si="17"/>
        <v>SVN Slowenien</v>
      </c>
      <c r="E519" s="451" t="s">
        <v>2925</v>
      </c>
      <c r="F519" s="454" t="s">
        <v>2926</v>
      </c>
      <c r="G519" s="451" t="s">
        <v>2926</v>
      </c>
      <c r="H519" s="451" t="s">
        <v>2927</v>
      </c>
      <c r="I519" s="451" t="s">
        <v>2928</v>
      </c>
      <c r="J519" s="454" t="str">
        <f t="shared" si="21"/>
        <v>[pt]Slowenien</v>
      </c>
      <c r="K519" s="454" t="str">
        <f t="shared" si="22"/>
        <v>[gr]Slowenien</v>
      </c>
      <c r="L519" s="525" t="s">
        <v>610</v>
      </c>
      <c r="M519" s="455" t="str">
        <f t="shared" si="18"/>
        <v/>
      </c>
    </row>
    <row r="520" spans="1:13" ht="15.75" customHeight="1">
      <c r="A520" s="523" t="s">
        <v>612</v>
      </c>
      <c r="B520" s="474" t="s">
        <v>2929</v>
      </c>
      <c r="C520" s="523" t="s">
        <v>2930</v>
      </c>
      <c r="D520" s="453" t="str">
        <f t="shared" si="17"/>
        <v>SWE Schweden</v>
      </c>
      <c r="E520" s="451" t="s">
        <v>2931</v>
      </c>
      <c r="F520" s="454" t="s">
        <v>2932</v>
      </c>
      <c r="G520" s="451" t="s">
        <v>2933</v>
      </c>
      <c r="H520" s="451" t="s">
        <v>2934</v>
      </c>
      <c r="I520" s="451" t="s">
        <v>2935</v>
      </c>
      <c r="J520" s="454" t="str">
        <f t="shared" si="21"/>
        <v>[pt]Schweden</v>
      </c>
      <c r="K520" s="454" t="str">
        <f t="shared" si="22"/>
        <v>[gr]Schweden</v>
      </c>
      <c r="L520" s="525" t="s">
        <v>612</v>
      </c>
      <c r="M520" s="455" t="str">
        <f t="shared" si="18"/>
        <v/>
      </c>
    </row>
    <row r="521" spans="1:13" ht="15.75" customHeight="1">
      <c r="A521" s="523" t="s">
        <v>614</v>
      </c>
      <c r="B521" s="474" t="s">
        <v>2936</v>
      </c>
      <c r="C521" s="523" t="s">
        <v>2937</v>
      </c>
      <c r="D521" s="453" t="str">
        <f t="shared" si="17"/>
        <v>SWZ Swasiland</v>
      </c>
      <c r="E521" s="451" t="s">
        <v>2938</v>
      </c>
      <c r="F521" s="454" t="s">
        <v>2939</v>
      </c>
      <c r="G521" s="451" t="s">
        <v>2939</v>
      </c>
      <c r="H521" s="451" t="s">
        <v>2940</v>
      </c>
      <c r="I521" s="451" t="s">
        <v>613</v>
      </c>
      <c r="J521" s="454" t="str">
        <f t="shared" ref="J521:J552" si="23">"[pt]"&amp;E521</f>
        <v>[pt]Swasiland</v>
      </c>
      <c r="K521" s="454" t="str">
        <f t="shared" ref="K521:K552" si="24">"[gr]"&amp;E521</f>
        <v>[gr]Swasiland</v>
      </c>
      <c r="L521" s="525" t="s">
        <v>614</v>
      </c>
      <c r="M521" s="455" t="str">
        <f t="shared" si="18"/>
        <v/>
      </c>
    </row>
    <row r="522" spans="1:13" ht="15.75" customHeight="1">
      <c r="A522" s="523" t="s">
        <v>616</v>
      </c>
      <c r="B522" s="474" t="s">
        <v>2941</v>
      </c>
      <c r="C522" s="523" t="s">
        <v>2942</v>
      </c>
      <c r="D522" s="453" t="str">
        <f t="shared" si="17"/>
        <v>SXM Sint Maarten (niederl. Teil)</v>
      </c>
      <c r="E522" s="451" t="s">
        <v>2943</v>
      </c>
      <c r="F522" s="454" t="s">
        <v>2944</v>
      </c>
      <c r="G522" s="451" t="s">
        <v>2945</v>
      </c>
      <c r="H522" s="451" t="s">
        <v>2946</v>
      </c>
      <c r="I522" s="451" t="s">
        <v>2596</v>
      </c>
      <c r="J522" s="454" t="str">
        <f t="shared" si="23"/>
        <v>[pt]Sint Maarten (niederl. Teil)</v>
      </c>
      <c r="K522" s="454" t="str">
        <f t="shared" si="24"/>
        <v>[gr]Sint Maarten (niederl. Teil)</v>
      </c>
      <c r="L522" s="525" t="s">
        <v>616</v>
      </c>
      <c r="M522" s="455" t="str">
        <f t="shared" si="18"/>
        <v/>
      </c>
    </row>
    <row r="523" spans="1:13" ht="15.75" customHeight="1">
      <c r="A523" s="523" t="s">
        <v>618</v>
      </c>
      <c r="B523" s="474" t="s">
        <v>2947</v>
      </c>
      <c r="C523" s="523" t="s">
        <v>2948</v>
      </c>
      <c r="D523" s="453" t="str">
        <f t="shared" si="17"/>
        <v>SYC Seychellen</v>
      </c>
      <c r="E523" s="451" t="s">
        <v>2949</v>
      </c>
      <c r="F523" s="454" t="s">
        <v>2950</v>
      </c>
      <c r="G523" s="451" t="s">
        <v>2950</v>
      </c>
      <c r="H523" s="451" t="s">
        <v>617</v>
      </c>
      <c r="I523" s="451" t="s">
        <v>617</v>
      </c>
      <c r="J523" s="454" t="str">
        <f t="shared" si="23"/>
        <v>[pt]Seychellen</v>
      </c>
      <c r="K523" s="454" t="str">
        <f t="shared" si="24"/>
        <v>[gr]Seychellen</v>
      </c>
      <c r="L523" s="525" t="s">
        <v>618</v>
      </c>
      <c r="M523" s="455" t="str">
        <f t="shared" si="18"/>
        <v/>
      </c>
    </row>
    <row r="524" spans="1:13" ht="15.75" customHeight="1">
      <c r="A524" s="523" t="s">
        <v>620</v>
      </c>
      <c r="B524" s="474" t="s">
        <v>2951</v>
      </c>
      <c r="C524" s="523" t="s">
        <v>2952</v>
      </c>
      <c r="D524" s="453" t="str">
        <f t="shared" si="17"/>
        <v>SYR Syrien, Arabische Republik</v>
      </c>
      <c r="E524" s="451" t="s">
        <v>2953</v>
      </c>
      <c r="F524" s="454" t="s">
        <v>2954</v>
      </c>
      <c r="G524" s="451" t="s">
        <v>2955</v>
      </c>
      <c r="H524" s="451" t="s">
        <v>2956</v>
      </c>
      <c r="I524" s="451" t="s">
        <v>2957</v>
      </c>
      <c r="J524" s="454" t="str">
        <f t="shared" si="23"/>
        <v>[pt]Syrien, Arabische Republik</v>
      </c>
      <c r="K524" s="454" t="str">
        <f t="shared" si="24"/>
        <v>[gr]Syrien, Arabische Republik</v>
      </c>
      <c r="L524" s="525" t="s">
        <v>620</v>
      </c>
      <c r="M524" s="455" t="str">
        <f t="shared" si="18"/>
        <v/>
      </c>
    </row>
    <row r="525" spans="1:13" ht="15.75" customHeight="1">
      <c r="A525" s="523" t="s">
        <v>622</v>
      </c>
      <c r="B525" s="474" t="s">
        <v>2958</v>
      </c>
      <c r="C525" s="523" t="s">
        <v>2959</v>
      </c>
      <c r="D525" s="453" t="str">
        <f t="shared" si="17"/>
        <v>TCA Turks- und Caicosinseln</v>
      </c>
      <c r="E525" s="451" t="s">
        <v>2960</v>
      </c>
      <c r="F525" s="454" t="s">
        <v>2961</v>
      </c>
      <c r="G525" s="451" t="s">
        <v>2962</v>
      </c>
      <c r="H525" s="451" t="s">
        <v>2963</v>
      </c>
      <c r="I525" s="451" t="s">
        <v>2964</v>
      </c>
      <c r="J525" s="454" t="str">
        <f t="shared" si="23"/>
        <v>[pt]Turks- und Caicosinseln</v>
      </c>
      <c r="K525" s="454" t="str">
        <f t="shared" si="24"/>
        <v>[gr]Turks- und Caicosinseln</v>
      </c>
      <c r="L525" s="525" t="s">
        <v>622</v>
      </c>
      <c r="M525" s="455" t="str">
        <f t="shared" si="18"/>
        <v/>
      </c>
    </row>
    <row r="526" spans="1:13" ht="15.75" customHeight="1">
      <c r="A526" s="523" t="s">
        <v>624</v>
      </c>
      <c r="B526" s="474" t="s">
        <v>2965</v>
      </c>
      <c r="C526" s="523" t="s">
        <v>2966</v>
      </c>
      <c r="D526" s="453" t="str">
        <f t="shared" si="17"/>
        <v>TCD Tschad</v>
      </c>
      <c r="E526" s="451" t="s">
        <v>2967</v>
      </c>
      <c r="F526" s="454" t="s">
        <v>2968</v>
      </c>
      <c r="G526" s="451" t="s">
        <v>2969</v>
      </c>
      <c r="H526" s="451" t="s">
        <v>623</v>
      </c>
      <c r="I526" s="451" t="s">
        <v>2970</v>
      </c>
      <c r="J526" s="454" t="str">
        <f t="shared" si="23"/>
        <v>[pt]Tschad</v>
      </c>
      <c r="K526" s="454" t="str">
        <f t="shared" si="24"/>
        <v>[gr]Tschad</v>
      </c>
      <c r="L526" s="525" t="s">
        <v>624</v>
      </c>
      <c r="M526" s="455" t="str">
        <f t="shared" si="18"/>
        <v/>
      </c>
    </row>
    <row r="527" spans="1:13" ht="15.75" customHeight="1">
      <c r="A527" s="523" t="s">
        <v>626</v>
      </c>
      <c r="B527" s="474" t="s">
        <v>2971</v>
      </c>
      <c r="C527" s="523" t="s">
        <v>2972</v>
      </c>
      <c r="D527" s="453" t="str">
        <f t="shared" si="17"/>
        <v>TGO Togo</v>
      </c>
      <c r="E527" s="451" t="s">
        <v>625</v>
      </c>
      <c r="F527" s="454" t="s">
        <v>2973</v>
      </c>
      <c r="G527" s="451" t="s">
        <v>2973</v>
      </c>
      <c r="H527" s="451" t="s">
        <v>625</v>
      </c>
      <c r="I527" s="451" t="s">
        <v>625</v>
      </c>
      <c r="J527" s="454" t="str">
        <f t="shared" si="23"/>
        <v>[pt]Togo</v>
      </c>
      <c r="K527" s="454" t="str">
        <f t="shared" si="24"/>
        <v>[gr]Togo</v>
      </c>
      <c r="L527" s="525" t="s">
        <v>626</v>
      </c>
      <c r="M527" s="455" t="str">
        <f t="shared" si="18"/>
        <v/>
      </c>
    </row>
    <row r="528" spans="1:13" ht="15.75" customHeight="1">
      <c r="A528" s="523" t="s">
        <v>628</v>
      </c>
      <c r="B528" s="474" t="s">
        <v>2974</v>
      </c>
      <c r="C528" s="523" t="s">
        <v>2975</v>
      </c>
      <c r="D528" s="453" t="str">
        <f t="shared" si="17"/>
        <v>THA Thailand</v>
      </c>
      <c r="E528" s="451" t="s">
        <v>627</v>
      </c>
      <c r="F528" s="454" t="s">
        <v>2976</v>
      </c>
      <c r="G528" s="451" t="s">
        <v>2977</v>
      </c>
      <c r="H528" s="451" t="s">
        <v>2978</v>
      </c>
      <c r="I528" s="451" t="s">
        <v>2979</v>
      </c>
      <c r="J528" s="454" t="str">
        <f t="shared" si="23"/>
        <v>[pt]Thailand</v>
      </c>
      <c r="K528" s="454" t="str">
        <f t="shared" si="24"/>
        <v>[gr]Thailand</v>
      </c>
      <c r="L528" s="525" t="s">
        <v>628</v>
      </c>
      <c r="M528" s="455" t="str">
        <f t="shared" si="18"/>
        <v/>
      </c>
    </row>
    <row r="529" spans="1:13" ht="15.75" customHeight="1">
      <c r="A529" s="523" t="s">
        <v>630</v>
      </c>
      <c r="B529" s="474" t="s">
        <v>2980</v>
      </c>
      <c r="C529" s="523" t="s">
        <v>2981</v>
      </c>
      <c r="D529" s="453" t="str">
        <f t="shared" si="17"/>
        <v>TJK Tadschikistan</v>
      </c>
      <c r="E529" s="451" t="s">
        <v>2982</v>
      </c>
      <c r="F529" s="454" t="s">
        <v>2983</v>
      </c>
      <c r="G529" s="451" t="s">
        <v>2984</v>
      </c>
      <c r="H529" s="451" t="s">
        <v>2985</v>
      </c>
      <c r="I529" s="451" t="s">
        <v>629</v>
      </c>
      <c r="J529" s="454" t="str">
        <f t="shared" si="23"/>
        <v>[pt]Tadschikistan</v>
      </c>
      <c r="K529" s="454" t="str">
        <f t="shared" si="24"/>
        <v>[gr]Tadschikistan</v>
      </c>
      <c r="L529" s="525" t="s">
        <v>630</v>
      </c>
      <c r="M529" s="455" t="str">
        <f t="shared" si="18"/>
        <v/>
      </c>
    </row>
    <row r="530" spans="1:13" ht="15.75" customHeight="1">
      <c r="A530" s="523" t="s">
        <v>632</v>
      </c>
      <c r="B530" s="474" t="s">
        <v>2986</v>
      </c>
      <c r="C530" s="523" t="s">
        <v>2987</v>
      </c>
      <c r="D530" s="453" t="str">
        <f t="shared" si="17"/>
        <v>TKM Turkmenistan</v>
      </c>
      <c r="E530" s="451" t="s">
        <v>631</v>
      </c>
      <c r="F530" s="454" t="s">
        <v>2988</v>
      </c>
      <c r="G530" s="451" t="s">
        <v>2988</v>
      </c>
      <c r="H530" s="451" t="s">
        <v>2989</v>
      </c>
      <c r="I530" s="451" t="s">
        <v>2990</v>
      </c>
      <c r="J530" s="454" t="str">
        <f t="shared" si="23"/>
        <v>[pt]Turkmenistan</v>
      </c>
      <c r="K530" s="454" t="str">
        <f t="shared" si="24"/>
        <v>[gr]Turkmenistan</v>
      </c>
      <c r="L530" s="525" t="s">
        <v>632</v>
      </c>
      <c r="M530" s="455" t="str">
        <f t="shared" si="18"/>
        <v/>
      </c>
    </row>
    <row r="531" spans="1:13" ht="15.75" customHeight="1">
      <c r="A531" s="523" t="s">
        <v>634</v>
      </c>
      <c r="B531" s="474" t="s">
        <v>2991</v>
      </c>
      <c r="C531" s="523" t="s">
        <v>2992</v>
      </c>
      <c r="D531" s="453" t="str">
        <f t="shared" si="17"/>
        <v>TLS Osttimor (Timor-Leste)</v>
      </c>
      <c r="E531" s="451" t="s">
        <v>2993</v>
      </c>
      <c r="F531" s="454" t="s">
        <v>2994</v>
      </c>
      <c r="G531" s="451" t="s">
        <v>2995</v>
      </c>
      <c r="H531" s="451" t="s">
        <v>2996</v>
      </c>
      <c r="I531" s="451" t="s">
        <v>2997</v>
      </c>
      <c r="J531" s="454" t="str">
        <f t="shared" si="23"/>
        <v>[pt]Osttimor (Timor-Leste)</v>
      </c>
      <c r="K531" s="454" t="str">
        <f t="shared" si="24"/>
        <v>[gr]Osttimor (Timor-Leste)</v>
      </c>
      <c r="L531" s="525" t="s">
        <v>634</v>
      </c>
      <c r="M531" s="455" t="str">
        <f t="shared" si="18"/>
        <v/>
      </c>
    </row>
    <row r="532" spans="1:13" ht="15.75" customHeight="1">
      <c r="A532" s="523" t="s">
        <v>636</v>
      </c>
      <c r="B532" s="474" t="s">
        <v>2998</v>
      </c>
      <c r="C532" s="523" t="s">
        <v>2999</v>
      </c>
      <c r="D532" s="453" t="str">
        <f t="shared" si="17"/>
        <v>TON Tonga</v>
      </c>
      <c r="E532" s="451" t="s">
        <v>635</v>
      </c>
      <c r="F532" s="454" t="s">
        <v>3000</v>
      </c>
      <c r="G532" s="451" t="s">
        <v>3000</v>
      </c>
      <c r="H532" s="451" t="s">
        <v>635</v>
      </c>
      <c r="I532" s="451" t="s">
        <v>635</v>
      </c>
      <c r="J532" s="454" t="str">
        <f t="shared" si="23"/>
        <v>[pt]Tonga</v>
      </c>
      <c r="K532" s="454" t="str">
        <f t="shared" si="24"/>
        <v>[gr]Tonga</v>
      </c>
      <c r="L532" s="525" t="s">
        <v>636</v>
      </c>
      <c r="M532" s="455" t="str">
        <f t="shared" si="18"/>
        <v/>
      </c>
    </row>
    <row r="533" spans="1:13" ht="15.75" customHeight="1">
      <c r="A533" s="523" t="s">
        <v>638</v>
      </c>
      <c r="B533" s="474" t="s">
        <v>3001</v>
      </c>
      <c r="C533" s="523" t="s">
        <v>3002</v>
      </c>
      <c r="D533" s="453" t="str">
        <f t="shared" si="17"/>
        <v>TTO Trinidad und Tobago</v>
      </c>
      <c r="E533" s="451" t="s">
        <v>3003</v>
      </c>
      <c r="F533" s="454" t="s">
        <v>3004</v>
      </c>
      <c r="G533" s="451" t="s">
        <v>3005</v>
      </c>
      <c r="H533" s="451" t="s">
        <v>3006</v>
      </c>
      <c r="I533" s="451" t="s">
        <v>3007</v>
      </c>
      <c r="J533" s="454" t="str">
        <f t="shared" si="23"/>
        <v>[pt]Trinidad und Tobago</v>
      </c>
      <c r="K533" s="454" t="str">
        <f t="shared" si="24"/>
        <v>[gr]Trinidad und Tobago</v>
      </c>
      <c r="L533" s="525" t="s">
        <v>638</v>
      </c>
      <c r="M533" s="455" t="str">
        <f t="shared" si="18"/>
        <v/>
      </c>
    </row>
    <row r="534" spans="1:13" ht="15.75" customHeight="1">
      <c r="A534" s="523" t="s">
        <v>640</v>
      </c>
      <c r="B534" s="474" t="s">
        <v>3008</v>
      </c>
      <c r="C534" s="523" t="s">
        <v>3009</v>
      </c>
      <c r="D534" s="453" t="str">
        <f t="shared" si="17"/>
        <v>TUN Tunesien</v>
      </c>
      <c r="E534" s="451" t="s">
        <v>3010</v>
      </c>
      <c r="F534" s="454" t="s">
        <v>3011</v>
      </c>
      <c r="G534" s="451" t="s">
        <v>3011</v>
      </c>
      <c r="H534" s="451" t="s">
        <v>3012</v>
      </c>
      <c r="I534" s="451" t="s">
        <v>3013</v>
      </c>
      <c r="J534" s="454" t="str">
        <f t="shared" si="23"/>
        <v>[pt]Tunesien</v>
      </c>
      <c r="K534" s="454" t="str">
        <f t="shared" si="24"/>
        <v>[gr]Tunesien</v>
      </c>
      <c r="L534" s="525" t="s">
        <v>640</v>
      </c>
      <c r="M534" s="455" t="str">
        <f t="shared" si="18"/>
        <v/>
      </c>
    </row>
    <row r="535" spans="1:13" ht="15.75" customHeight="1">
      <c r="A535" s="523" t="s">
        <v>642</v>
      </c>
      <c r="B535" s="474" t="s">
        <v>3014</v>
      </c>
      <c r="C535" s="523" t="s">
        <v>3015</v>
      </c>
      <c r="D535" s="453" t="str">
        <f t="shared" si="17"/>
        <v>TUR Türkei</v>
      </c>
      <c r="E535" s="451" t="s">
        <v>3016</v>
      </c>
      <c r="F535" s="454" t="s">
        <v>3017</v>
      </c>
      <c r="G535" s="451" t="s">
        <v>3018</v>
      </c>
      <c r="H535" s="451" t="s">
        <v>3019</v>
      </c>
      <c r="I535" s="451" t="s">
        <v>3020</v>
      </c>
      <c r="J535" s="454" t="str">
        <f t="shared" si="23"/>
        <v>[pt]Türkei</v>
      </c>
      <c r="K535" s="454" t="str">
        <f t="shared" si="24"/>
        <v>[gr]Türkei</v>
      </c>
      <c r="L535" s="525" t="s">
        <v>642</v>
      </c>
      <c r="M535" s="455" t="str">
        <f t="shared" si="18"/>
        <v/>
      </c>
    </row>
    <row r="536" spans="1:13" ht="15.75" customHeight="1">
      <c r="A536" s="523" t="s">
        <v>644</v>
      </c>
      <c r="B536" s="474" t="s">
        <v>3021</v>
      </c>
      <c r="C536" s="523" t="s">
        <v>3022</v>
      </c>
      <c r="D536" s="453" t="str">
        <f t="shared" si="17"/>
        <v>TUV Tuvalu</v>
      </c>
      <c r="E536" s="451" t="s">
        <v>643</v>
      </c>
      <c r="F536" s="454" t="s">
        <v>3023</v>
      </c>
      <c r="G536" s="451" t="s">
        <v>3023</v>
      </c>
      <c r="H536" s="451" t="s">
        <v>643</v>
      </c>
      <c r="I536" s="451" t="s">
        <v>643</v>
      </c>
      <c r="J536" s="454" t="str">
        <f t="shared" si="23"/>
        <v>[pt]Tuvalu</v>
      </c>
      <c r="K536" s="454" t="str">
        <f t="shared" si="24"/>
        <v>[gr]Tuvalu</v>
      </c>
      <c r="L536" s="525" t="s">
        <v>644</v>
      </c>
      <c r="M536" s="455" t="str">
        <f t="shared" si="18"/>
        <v/>
      </c>
    </row>
    <row r="537" spans="1:13" ht="15.75" customHeight="1">
      <c r="A537" s="523" t="s">
        <v>646</v>
      </c>
      <c r="B537" s="474" t="s">
        <v>3024</v>
      </c>
      <c r="C537" s="523" t="s">
        <v>3025</v>
      </c>
      <c r="D537" s="453" t="str">
        <f t="shared" si="17"/>
        <v>TZA Tansania, Vereinigte Republik</v>
      </c>
      <c r="E537" s="451" t="s">
        <v>3026</v>
      </c>
      <c r="F537" s="454" t="s">
        <v>3027</v>
      </c>
      <c r="G537" s="451" t="s">
        <v>3028</v>
      </c>
      <c r="H537" s="451" t="s">
        <v>645</v>
      </c>
      <c r="I537" s="451" t="s">
        <v>3029</v>
      </c>
      <c r="J537" s="454" t="str">
        <f t="shared" si="23"/>
        <v>[pt]Tansania, Vereinigte Republik</v>
      </c>
      <c r="K537" s="454" t="str">
        <f t="shared" si="24"/>
        <v>[gr]Tansania, Vereinigte Republik</v>
      </c>
      <c r="L537" s="525" t="s">
        <v>646</v>
      </c>
      <c r="M537" s="455" t="str">
        <f t="shared" si="18"/>
        <v/>
      </c>
    </row>
    <row r="538" spans="1:13" ht="15.75" customHeight="1">
      <c r="A538" s="523" t="s">
        <v>648</v>
      </c>
      <c r="B538" s="474" t="s">
        <v>3030</v>
      </c>
      <c r="C538" s="523" t="s">
        <v>3031</v>
      </c>
      <c r="D538" s="453" t="str">
        <f t="shared" si="17"/>
        <v>UGA Uganda</v>
      </c>
      <c r="E538" s="451" t="s">
        <v>647</v>
      </c>
      <c r="F538" s="454" t="s">
        <v>3032</v>
      </c>
      <c r="G538" s="451" t="s">
        <v>3032</v>
      </c>
      <c r="H538" s="451" t="s">
        <v>647</v>
      </c>
      <c r="I538" s="451" t="s">
        <v>3033</v>
      </c>
      <c r="J538" s="454" t="str">
        <f t="shared" si="23"/>
        <v>[pt]Uganda</v>
      </c>
      <c r="K538" s="454" t="str">
        <f t="shared" si="24"/>
        <v>[gr]Uganda</v>
      </c>
      <c r="L538" s="525" t="s">
        <v>648</v>
      </c>
      <c r="M538" s="455" t="str">
        <f t="shared" si="18"/>
        <v/>
      </c>
    </row>
    <row r="539" spans="1:13" ht="15.75" customHeight="1">
      <c r="A539" s="523" t="s">
        <v>650</v>
      </c>
      <c r="B539" s="474" t="s">
        <v>3034</v>
      </c>
      <c r="C539" s="523" t="s">
        <v>3035</v>
      </c>
      <c r="D539" s="453" t="str">
        <f t="shared" si="17"/>
        <v>UKR Ukraine</v>
      </c>
      <c r="E539" s="451" t="s">
        <v>649</v>
      </c>
      <c r="F539" s="454" t="s">
        <v>3036</v>
      </c>
      <c r="G539" s="451" t="s">
        <v>3037</v>
      </c>
      <c r="H539" s="451" t="s">
        <v>3038</v>
      </c>
      <c r="I539" s="451" t="s">
        <v>649</v>
      </c>
      <c r="J539" s="454" t="str">
        <f t="shared" si="23"/>
        <v>[pt]Ukraine</v>
      </c>
      <c r="K539" s="454" t="str">
        <f t="shared" si="24"/>
        <v>[gr]Ukraine</v>
      </c>
      <c r="L539" s="525" t="s">
        <v>650</v>
      </c>
      <c r="M539" s="455" t="str">
        <f t="shared" si="18"/>
        <v/>
      </c>
    </row>
    <row r="540" spans="1:13" ht="15.75" customHeight="1">
      <c r="A540" s="523" t="s">
        <v>652</v>
      </c>
      <c r="B540" s="474" t="s">
        <v>3039</v>
      </c>
      <c r="C540" s="523" t="s">
        <v>3040</v>
      </c>
      <c r="D540" s="453" t="str">
        <f t="shared" si="17"/>
        <v>URY Uruguay</v>
      </c>
      <c r="E540" s="451" t="s">
        <v>651</v>
      </c>
      <c r="F540" s="454" t="s">
        <v>3041</v>
      </c>
      <c r="G540" s="451" t="s">
        <v>3041</v>
      </c>
      <c r="H540" s="451" t="s">
        <v>651</v>
      </c>
      <c r="I540" s="451" t="s">
        <v>651</v>
      </c>
      <c r="J540" s="454" t="str">
        <f t="shared" si="23"/>
        <v>[pt]Uruguay</v>
      </c>
      <c r="K540" s="454" t="str">
        <f t="shared" si="24"/>
        <v>[gr]Uruguay</v>
      </c>
      <c r="L540" s="525" t="s">
        <v>652</v>
      </c>
      <c r="M540" s="455" t="str">
        <f t="shared" si="18"/>
        <v/>
      </c>
    </row>
    <row r="541" spans="1:13" ht="15.75" customHeight="1">
      <c r="A541" s="523" t="s">
        <v>654</v>
      </c>
      <c r="B541" s="474" t="s">
        <v>3042</v>
      </c>
      <c r="C541" s="523" t="s">
        <v>3043</v>
      </c>
      <c r="D541" s="453" t="str">
        <f t="shared" si="17"/>
        <v>USA Vereinigte Staaten von Amerika</v>
      </c>
      <c r="E541" s="451" t="s">
        <v>3044</v>
      </c>
      <c r="F541" s="454" t="s">
        <v>3045</v>
      </c>
      <c r="G541" s="451" t="s">
        <v>3046</v>
      </c>
      <c r="H541" s="451" t="s">
        <v>3047</v>
      </c>
      <c r="I541" s="451" t="s">
        <v>3048</v>
      </c>
      <c r="J541" s="454" t="str">
        <f t="shared" si="23"/>
        <v>[pt]Vereinigte Staaten von Amerika</v>
      </c>
      <c r="K541" s="454" t="str">
        <f t="shared" si="24"/>
        <v>[gr]Vereinigte Staaten von Amerika</v>
      </c>
      <c r="L541" s="525" t="s">
        <v>654</v>
      </c>
      <c r="M541" s="455" t="str">
        <f t="shared" si="18"/>
        <v/>
      </c>
    </row>
    <row r="542" spans="1:13" ht="15.75" customHeight="1">
      <c r="A542" s="523" t="s">
        <v>656</v>
      </c>
      <c r="B542" s="474" t="s">
        <v>3049</v>
      </c>
      <c r="C542" s="523" t="s">
        <v>3050</v>
      </c>
      <c r="D542" s="453" t="str">
        <f t="shared" si="17"/>
        <v>UZB Usbekistan</v>
      </c>
      <c r="E542" s="451" t="s">
        <v>3051</v>
      </c>
      <c r="F542" s="454" t="s">
        <v>3052</v>
      </c>
      <c r="G542" s="451" t="s">
        <v>3052</v>
      </c>
      <c r="H542" s="451" t="s">
        <v>3053</v>
      </c>
      <c r="I542" s="451" t="s">
        <v>3054</v>
      </c>
      <c r="J542" s="454" t="str">
        <f t="shared" si="23"/>
        <v>[pt]Usbekistan</v>
      </c>
      <c r="K542" s="454" t="str">
        <f t="shared" si="24"/>
        <v>[gr]Usbekistan</v>
      </c>
      <c r="L542" s="525" t="s">
        <v>656</v>
      </c>
      <c r="M542" s="455" t="str">
        <f t="shared" si="18"/>
        <v/>
      </c>
    </row>
    <row r="543" spans="1:13" ht="15.75" customHeight="1">
      <c r="A543" s="523" t="s">
        <v>658</v>
      </c>
      <c r="B543" s="474" t="s">
        <v>3055</v>
      </c>
      <c r="C543" s="523" t="s">
        <v>3056</v>
      </c>
      <c r="D543" s="453" t="str">
        <f t="shared" si="17"/>
        <v>VCT St. Vincent und die Grenadinen</v>
      </c>
      <c r="E543" s="451" t="s">
        <v>3057</v>
      </c>
      <c r="F543" s="454" t="s">
        <v>3058</v>
      </c>
      <c r="G543" s="451" t="s">
        <v>3059</v>
      </c>
      <c r="H543" s="451" t="s">
        <v>3060</v>
      </c>
      <c r="I543" s="451" t="s">
        <v>3061</v>
      </c>
      <c r="J543" s="454" t="str">
        <f t="shared" si="23"/>
        <v>[pt]St. Vincent und die Grenadinen</v>
      </c>
      <c r="K543" s="454" t="str">
        <f t="shared" si="24"/>
        <v>[gr]St. Vincent und die Grenadinen</v>
      </c>
      <c r="L543" s="525" t="s">
        <v>658</v>
      </c>
      <c r="M543" s="455" t="str">
        <f t="shared" si="18"/>
        <v/>
      </c>
    </row>
    <row r="544" spans="1:13" ht="15.75" customHeight="1">
      <c r="A544" s="523" t="s">
        <v>660</v>
      </c>
      <c r="B544" s="474" t="s">
        <v>3062</v>
      </c>
      <c r="C544" s="523" t="s">
        <v>3063</v>
      </c>
      <c r="D544" s="453" t="str">
        <f t="shared" si="17"/>
        <v>VEN Venezuela</v>
      </c>
      <c r="E544" s="451" t="s">
        <v>3064</v>
      </c>
      <c r="F544" s="454" t="s">
        <v>3065</v>
      </c>
      <c r="G544" s="451" t="s">
        <v>3066</v>
      </c>
      <c r="H544" s="451" t="s">
        <v>3064</v>
      </c>
      <c r="I544" s="451" t="s">
        <v>3067</v>
      </c>
      <c r="J544" s="454" t="str">
        <f t="shared" si="23"/>
        <v>[pt]Venezuela</v>
      </c>
      <c r="K544" s="454" t="str">
        <f t="shared" si="24"/>
        <v>[gr]Venezuela</v>
      </c>
      <c r="L544" s="525" t="s">
        <v>660</v>
      </c>
      <c r="M544" s="455" t="str">
        <f t="shared" si="18"/>
        <v/>
      </c>
    </row>
    <row r="545" spans="1:13" ht="15.75" customHeight="1">
      <c r="A545" s="523" t="s">
        <v>662</v>
      </c>
      <c r="B545" s="474" t="s">
        <v>3068</v>
      </c>
      <c r="C545" s="523" t="s">
        <v>3069</v>
      </c>
      <c r="D545" s="453" t="str">
        <f t="shared" si="17"/>
        <v>VGB Britische Jungferninseln</v>
      </c>
      <c r="E545" s="451" t="s">
        <v>3070</v>
      </c>
      <c r="F545" s="454" t="s">
        <v>3071</v>
      </c>
      <c r="G545" s="451" t="s">
        <v>3072</v>
      </c>
      <c r="H545" s="451" t="s">
        <v>3073</v>
      </c>
      <c r="I545" s="451" t="s">
        <v>3074</v>
      </c>
      <c r="J545" s="454" t="str">
        <f t="shared" si="23"/>
        <v>[pt]Britische Jungferninseln</v>
      </c>
      <c r="K545" s="454" t="str">
        <f t="shared" si="24"/>
        <v>[gr]Britische Jungferninseln</v>
      </c>
      <c r="L545" s="525" t="s">
        <v>662</v>
      </c>
      <c r="M545" s="455" t="str">
        <f t="shared" si="18"/>
        <v/>
      </c>
    </row>
    <row r="546" spans="1:13" ht="15.75" customHeight="1">
      <c r="A546" s="523" t="s">
        <v>664</v>
      </c>
      <c r="B546" s="474" t="s">
        <v>3075</v>
      </c>
      <c r="C546" s="523" t="s">
        <v>3076</v>
      </c>
      <c r="D546" s="453" t="str">
        <f t="shared" si="17"/>
        <v>VIR Amerikanische Jungferninseln</v>
      </c>
      <c r="E546" s="451" t="s">
        <v>3077</v>
      </c>
      <c r="F546" s="454" t="s">
        <v>3078</v>
      </c>
      <c r="G546" s="451" t="s">
        <v>3079</v>
      </c>
      <c r="H546" s="451" t="s">
        <v>3080</v>
      </c>
      <c r="I546" s="451" t="s">
        <v>3081</v>
      </c>
      <c r="J546" s="454" t="str">
        <f t="shared" si="23"/>
        <v>[pt]Amerikanische Jungferninseln</v>
      </c>
      <c r="K546" s="454" t="str">
        <f t="shared" si="24"/>
        <v>[gr]Amerikanische Jungferninseln</v>
      </c>
      <c r="L546" s="525" t="s">
        <v>664</v>
      </c>
      <c r="M546" s="455" t="str">
        <f t="shared" si="18"/>
        <v/>
      </c>
    </row>
    <row r="547" spans="1:13" ht="15.75" customHeight="1">
      <c r="A547" s="523" t="s">
        <v>666</v>
      </c>
      <c r="B547" s="474" t="s">
        <v>3082</v>
      </c>
      <c r="C547" s="523" t="s">
        <v>3083</v>
      </c>
      <c r="D547" s="453" t="str">
        <f t="shared" si="17"/>
        <v>VNM Vietnam</v>
      </c>
      <c r="E547" s="451" t="s">
        <v>665</v>
      </c>
      <c r="F547" s="454" t="s">
        <v>3084</v>
      </c>
      <c r="G547" s="451" t="s">
        <v>3085</v>
      </c>
      <c r="H547" s="451" t="s">
        <v>665</v>
      </c>
      <c r="I547" s="451" t="s">
        <v>665</v>
      </c>
      <c r="J547" s="454" t="str">
        <f t="shared" si="23"/>
        <v>[pt]Vietnam</v>
      </c>
      <c r="K547" s="454" t="str">
        <f t="shared" si="24"/>
        <v>[gr]Vietnam</v>
      </c>
      <c r="L547" s="525" t="s">
        <v>666</v>
      </c>
      <c r="M547" s="455" t="str">
        <f t="shared" si="18"/>
        <v/>
      </c>
    </row>
    <row r="548" spans="1:13" ht="15.75" customHeight="1">
      <c r="A548" s="523" t="s">
        <v>668</v>
      </c>
      <c r="B548" s="474" t="s">
        <v>3086</v>
      </c>
      <c r="C548" s="523" t="s">
        <v>3087</v>
      </c>
      <c r="D548" s="453" t="str">
        <f t="shared" si="17"/>
        <v>VUT Vanuatu</v>
      </c>
      <c r="E548" s="451" t="s">
        <v>667</v>
      </c>
      <c r="F548" s="454" t="s">
        <v>3088</v>
      </c>
      <c r="G548" s="451" t="s">
        <v>3088</v>
      </c>
      <c r="H548" s="451" t="s">
        <v>667</v>
      </c>
      <c r="I548" s="451" t="s">
        <v>667</v>
      </c>
      <c r="J548" s="454" t="str">
        <f t="shared" si="23"/>
        <v>[pt]Vanuatu</v>
      </c>
      <c r="K548" s="454" t="str">
        <f t="shared" si="24"/>
        <v>[gr]Vanuatu</v>
      </c>
      <c r="L548" s="525" t="s">
        <v>668</v>
      </c>
      <c r="M548" s="455" t="str">
        <f t="shared" si="18"/>
        <v/>
      </c>
    </row>
    <row r="549" spans="1:13" ht="15.75" customHeight="1">
      <c r="A549" s="523" t="s">
        <v>670</v>
      </c>
      <c r="B549" s="474" t="s">
        <v>3089</v>
      </c>
      <c r="C549" s="523" t="s">
        <v>3090</v>
      </c>
      <c r="D549" s="453" t="str">
        <f t="shared" si="17"/>
        <v>WSM Samoa</v>
      </c>
      <c r="E549" s="451" t="s">
        <v>669</v>
      </c>
      <c r="F549" s="454" t="s">
        <v>3091</v>
      </c>
      <c r="G549" s="451" t="s">
        <v>3091</v>
      </c>
      <c r="H549" s="451" t="s">
        <v>669</v>
      </c>
      <c r="I549" s="451" t="s">
        <v>669</v>
      </c>
      <c r="J549" s="454" t="str">
        <f t="shared" si="23"/>
        <v>[pt]Samoa</v>
      </c>
      <c r="K549" s="454" t="str">
        <f t="shared" si="24"/>
        <v>[gr]Samoa</v>
      </c>
      <c r="L549" s="525" t="s">
        <v>670</v>
      </c>
      <c r="M549" s="455" t="str">
        <f t="shared" si="18"/>
        <v/>
      </c>
    </row>
    <row r="550" spans="1:13" ht="15.75" customHeight="1">
      <c r="A550" s="474" t="s">
        <v>672</v>
      </c>
      <c r="B550" s="474"/>
      <c r="C550" s="474" t="s">
        <v>3092</v>
      </c>
      <c r="D550" s="453" t="str">
        <f t="shared" si="17"/>
        <v>XKX Kosovo</v>
      </c>
      <c r="E550" s="451" t="s">
        <v>671</v>
      </c>
      <c r="F550" s="454" t="s">
        <v>671</v>
      </c>
      <c r="G550" s="451" t="s">
        <v>671</v>
      </c>
      <c r="H550" s="451" t="s">
        <v>671</v>
      </c>
      <c r="I550" s="451" t="s">
        <v>671</v>
      </c>
      <c r="J550" s="454" t="str">
        <f t="shared" si="23"/>
        <v>[pt]Kosovo</v>
      </c>
      <c r="K550" s="454" t="str">
        <f t="shared" si="24"/>
        <v>[gr]Kosovo</v>
      </c>
      <c r="L550" s="525" t="s">
        <v>672</v>
      </c>
      <c r="M550" s="455" t="str">
        <f t="shared" si="18"/>
        <v/>
      </c>
    </row>
    <row r="551" spans="1:13" ht="15.75" customHeight="1">
      <c r="A551" s="523" t="s">
        <v>674</v>
      </c>
      <c r="B551" s="474" t="s">
        <v>3093</v>
      </c>
      <c r="C551" s="523" t="s">
        <v>3094</v>
      </c>
      <c r="D551" s="453" t="str">
        <f t="shared" si="17"/>
        <v>YEM Jemen</v>
      </c>
      <c r="E551" s="451" t="s">
        <v>3095</v>
      </c>
      <c r="F551" s="454" t="s">
        <v>3096</v>
      </c>
      <c r="G551" s="451" t="s">
        <v>3096</v>
      </c>
      <c r="H551" s="451" t="s">
        <v>3097</v>
      </c>
      <c r="I551" s="451" t="s">
        <v>3097</v>
      </c>
      <c r="J551" s="454" t="str">
        <f t="shared" si="23"/>
        <v>[pt]Jemen</v>
      </c>
      <c r="K551" s="454" t="str">
        <f t="shared" si="24"/>
        <v>[gr]Jemen</v>
      </c>
      <c r="L551" s="525" t="s">
        <v>674</v>
      </c>
      <c r="M551" s="455" t="str">
        <f t="shared" si="18"/>
        <v/>
      </c>
    </row>
    <row r="552" spans="1:13" ht="15.75" customHeight="1">
      <c r="A552" s="523" t="s">
        <v>676</v>
      </c>
      <c r="B552" s="474" t="s">
        <v>3098</v>
      </c>
      <c r="C552" s="523" t="s">
        <v>3099</v>
      </c>
      <c r="D552" s="453" t="str">
        <f t="shared" si="17"/>
        <v>ZAF Südafrika</v>
      </c>
      <c r="E552" s="451" t="s">
        <v>3100</v>
      </c>
      <c r="F552" s="454" t="s">
        <v>3101</v>
      </c>
      <c r="G552" s="451" t="s">
        <v>3102</v>
      </c>
      <c r="H552" s="451" t="s">
        <v>3103</v>
      </c>
      <c r="I552" s="451" t="s">
        <v>3104</v>
      </c>
      <c r="J552" s="454" t="str">
        <f t="shared" si="23"/>
        <v>[pt]Südafrika</v>
      </c>
      <c r="K552" s="454" t="str">
        <f t="shared" si="24"/>
        <v>[gr]Südafrika</v>
      </c>
      <c r="L552" s="525" t="s">
        <v>676</v>
      </c>
      <c r="M552" s="455" t="str">
        <f t="shared" si="18"/>
        <v/>
      </c>
    </row>
    <row r="553" spans="1:13" ht="15.75" customHeight="1">
      <c r="A553" s="523" t="s">
        <v>678</v>
      </c>
      <c r="B553" s="474" t="s">
        <v>3105</v>
      </c>
      <c r="C553" s="523" t="s">
        <v>3106</v>
      </c>
      <c r="D553" s="453" t="str">
        <f t="shared" si="17"/>
        <v>ZMB Sambia</v>
      </c>
      <c r="E553" s="451" t="s">
        <v>3107</v>
      </c>
      <c r="F553" s="454" t="s">
        <v>3108</v>
      </c>
      <c r="G553" s="451" t="s">
        <v>3108</v>
      </c>
      <c r="H553" s="451" t="s">
        <v>677</v>
      </c>
      <c r="I553" s="451" t="s">
        <v>3109</v>
      </c>
      <c r="J553" s="454" t="str">
        <f t="shared" ref="J553:J560" si="25">"[pt]"&amp;E553</f>
        <v>[pt]Sambia</v>
      </c>
      <c r="K553" s="454" t="str">
        <f t="shared" ref="K553:K560" si="26">"[gr]"&amp;E553</f>
        <v>[gr]Sambia</v>
      </c>
      <c r="L553" s="525" t="s">
        <v>678</v>
      </c>
      <c r="M553" s="455" t="str">
        <f t="shared" si="18"/>
        <v/>
      </c>
    </row>
    <row r="554" spans="1:13" ht="15.75" customHeight="1">
      <c r="A554" s="523" t="s">
        <v>680</v>
      </c>
      <c r="B554" s="474" t="s">
        <v>3110</v>
      </c>
      <c r="C554" s="523" t="s">
        <v>3111</v>
      </c>
      <c r="D554" s="453" t="str">
        <f t="shared" si="17"/>
        <v>ZWE Simbabwe</v>
      </c>
      <c r="E554" s="451" t="s">
        <v>3112</v>
      </c>
      <c r="F554" s="454" t="s">
        <v>3113</v>
      </c>
      <c r="G554" s="451" t="s">
        <v>3113</v>
      </c>
      <c r="H554" s="451" t="s">
        <v>3114</v>
      </c>
      <c r="I554" s="451" t="s">
        <v>679</v>
      </c>
      <c r="J554" s="454" t="str">
        <f t="shared" si="25"/>
        <v>[pt]Simbabwe</v>
      </c>
      <c r="K554" s="454" t="str">
        <f t="shared" si="26"/>
        <v>[gr]Simbabwe</v>
      </c>
      <c r="L554" s="525" t="s">
        <v>680</v>
      </c>
      <c r="M554" s="455" t="str">
        <f t="shared" si="18"/>
        <v/>
      </c>
    </row>
    <row r="555" spans="1:13" ht="14.1" customHeight="1">
      <c r="D555" s="453" t="str">
        <f t="shared" ref="D555:D561" si="27">HLOOKUP($C$1,$E$1:$X$4910,ROW(D555))</f>
        <v>Durchschnitt Afrika</v>
      </c>
      <c r="E555" s="451" t="s">
        <v>3115</v>
      </c>
      <c r="F555" s="454" t="s">
        <v>3116</v>
      </c>
      <c r="G555" s="451" t="s">
        <v>681</v>
      </c>
      <c r="H555" s="451" t="s">
        <v>3117</v>
      </c>
      <c r="J555" s="451" t="str">
        <f t="shared" si="25"/>
        <v>[pt]Durchschnitt Afrika</v>
      </c>
      <c r="K555" s="451" t="str">
        <f t="shared" si="26"/>
        <v>[gr]Durchschnitt Afrika</v>
      </c>
      <c r="L555" s="525" t="s">
        <v>681</v>
      </c>
      <c r="M555" s="455" t="str">
        <f t="shared" si="18"/>
        <v>nix</v>
      </c>
    </row>
    <row r="556" spans="1:13" ht="14.1" customHeight="1">
      <c r="D556" s="453" t="str">
        <f t="shared" si="27"/>
        <v>Durchschnitt Amerika</v>
      </c>
      <c r="E556" s="451" t="s">
        <v>3118</v>
      </c>
      <c r="F556" s="454" t="s">
        <v>3119</v>
      </c>
      <c r="G556" s="451" t="s">
        <v>682</v>
      </c>
      <c r="H556" s="451" t="s">
        <v>3120</v>
      </c>
      <c r="J556" s="451" t="str">
        <f t="shared" si="25"/>
        <v>[pt]Durchschnitt Amerika</v>
      </c>
      <c r="K556" s="451" t="str">
        <f t="shared" si="26"/>
        <v>[gr]Durchschnitt Amerika</v>
      </c>
      <c r="L556" s="525" t="s">
        <v>682</v>
      </c>
      <c r="M556" s="455" t="str">
        <f t="shared" si="18"/>
        <v>nix</v>
      </c>
    </row>
    <row r="557" spans="1:13" ht="14.1" customHeight="1">
      <c r="D557" s="453" t="str">
        <f t="shared" si="27"/>
        <v>Durchschnitt Asien</v>
      </c>
      <c r="E557" s="451" t="s">
        <v>3121</v>
      </c>
      <c r="F557" s="454" t="s">
        <v>3122</v>
      </c>
      <c r="G557" s="451" t="s">
        <v>683</v>
      </c>
      <c r="H557" s="451" t="s">
        <v>3123</v>
      </c>
      <c r="J557" s="451" t="str">
        <f t="shared" si="25"/>
        <v>[pt]Durchschnitt Asien</v>
      </c>
      <c r="K557" s="451" t="str">
        <f t="shared" si="26"/>
        <v>[gr]Durchschnitt Asien</v>
      </c>
      <c r="L557" s="525" t="s">
        <v>683</v>
      </c>
      <c r="M557" s="455" t="str">
        <f t="shared" si="18"/>
        <v>nix</v>
      </c>
    </row>
    <row r="558" spans="1:13" ht="14.1" customHeight="1">
      <c r="D558" s="453" t="str">
        <f t="shared" si="27"/>
        <v>Durchschnitt Europa</v>
      </c>
      <c r="E558" s="451" t="s">
        <v>3124</v>
      </c>
      <c r="F558" s="454" t="s">
        <v>3125</v>
      </c>
      <c r="G558" s="451" t="s">
        <v>684</v>
      </c>
      <c r="H558" s="451" t="s">
        <v>3126</v>
      </c>
      <c r="J558" s="451" t="str">
        <f t="shared" si="25"/>
        <v>[pt]Durchschnitt Europa</v>
      </c>
      <c r="K558" s="451" t="str">
        <f t="shared" si="26"/>
        <v>[gr]Durchschnitt Europa</v>
      </c>
      <c r="L558" s="525" t="s">
        <v>684</v>
      </c>
      <c r="M558" s="455" t="str">
        <f t="shared" si="18"/>
        <v>nix</v>
      </c>
    </row>
    <row r="559" spans="1:13" ht="14.1" customHeight="1">
      <c r="D559" s="453" t="str">
        <f t="shared" si="27"/>
        <v>Durchschnitt Ozeanien</v>
      </c>
      <c r="E559" s="451" t="s">
        <v>3127</v>
      </c>
      <c r="F559" s="454" t="s">
        <v>3128</v>
      </c>
      <c r="G559" s="451" t="s">
        <v>685</v>
      </c>
      <c r="H559" s="451" t="s">
        <v>3129</v>
      </c>
      <c r="J559" s="451" t="str">
        <f t="shared" si="25"/>
        <v>[pt]Durchschnitt Ozeanien</v>
      </c>
      <c r="K559" s="451" t="str">
        <f t="shared" si="26"/>
        <v>[gr]Durchschnitt Ozeanien</v>
      </c>
      <c r="L559" s="525" t="s">
        <v>685</v>
      </c>
      <c r="M559" s="455" t="str">
        <f t="shared" si="18"/>
        <v>nix</v>
      </c>
    </row>
    <row r="560" spans="1:13" ht="14.1" customHeight="1">
      <c r="D560" s="453" t="str">
        <f t="shared" si="27"/>
        <v>Durchschnitt Welt</v>
      </c>
      <c r="E560" s="451" t="s">
        <v>3130</v>
      </c>
      <c r="F560" s="454" t="s">
        <v>3131</v>
      </c>
      <c r="H560" s="451" t="s">
        <v>3132</v>
      </c>
      <c r="J560" s="451" t="str">
        <f t="shared" si="25"/>
        <v>[pt]Durchschnitt Welt</v>
      </c>
      <c r="K560" s="451" t="str">
        <f t="shared" si="26"/>
        <v>[gr]Durchschnitt Welt</v>
      </c>
      <c r="L560" s="527" t="s">
        <v>686</v>
      </c>
      <c r="M560" s="455" t="str">
        <f t="shared" si="18"/>
        <v>nix</v>
      </c>
    </row>
    <row r="561" spans="4:13" ht="14.1" customHeight="1">
      <c r="D561" s="453" t="str">
        <f t="shared" si="27"/>
        <v>Überwiegende Herkunft restlicher Lieferanten</v>
      </c>
      <c r="E561" s="451" t="s">
        <v>1814</v>
      </c>
      <c r="F561" s="454" t="s">
        <v>3133</v>
      </c>
      <c r="H561" s="451" t="s">
        <v>3134</v>
      </c>
      <c r="M561" s="455" t="str">
        <f t="shared" si="18"/>
        <v/>
      </c>
    </row>
    <row r="65535" ht="12.75" customHeight="1"/>
    <row r="65536" ht="12.75" customHeight="1"/>
  </sheetData>
  <sheetProtection algorithmName="SHA-512" hashValue="zdo4GwsYTrfBtpBEIEQqKanuS8yo8esWciW4+RKFdjyGvjUAY1yvv3BXfi5L+iHmndnacXefPRqMltOSUAJRgQ==" saltValue="27BylyDybFrrCZeio3p3/A==" spinCount="100000" sheet="1" selectLockedCells="1" selectUnlockedCells="1"/>
  <hyperlinks>
    <hyperlink ref="F55" r:id="rId1" xr:uid="{00000000-0004-0000-0D00-000000000000}"/>
    <hyperlink ref="H55" r:id="rId2" xr:uid="{00000000-0004-0000-0D00-000001000000}"/>
    <hyperlink ref="F56" r:id="rId3" xr:uid="{00000000-0004-0000-0D00-000002000000}"/>
    <hyperlink ref="H56" r:id="rId4" xr:uid="{00000000-0004-0000-0D00-000003000000}"/>
    <hyperlink ref="G57" r:id="rId5" xr:uid="{00000000-0004-0000-0D00-000004000000}"/>
    <hyperlink ref="H57" r:id="rId6" xr:uid="{00000000-0004-0000-0D00-000005000000}"/>
    <hyperlink ref="E58" r:id="rId7" xr:uid="{00000000-0004-0000-0D00-000006000000}"/>
    <hyperlink ref="G58" r:id="rId8" xr:uid="{00000000-0004-0000-0D00-000007000000}"/>
    <hyperlink ref="H58" r:id="rId9" xr:uid="{00000000-0004-0000-0D00-000008000000}"/>
  </hyperlinks>
  <pageMargins left="0.78749999999999998" right="0.78749999999999998" top="1.0527777777777778" bottom="1.0527777777777778" header="0.78749999999999998" footer="0.78749999999999998"/>
  <pageSetup paperSize="9" firstPageNumber="0" orientation="portrait" horizontalDpi="300" verticalDpi="300" r:id="rId10"/>
  <headerFooter alignWithMargins="0">
    <oddHeader>&amp;C&amp;"Times New Roman,Regular"&amp;12&amp;A</oddHeader>
    <oddFooter>&amp;C&amp;"Times New Roman,Regular"&amp;12Seite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C25"/>
  <sheetViews>
    <sheetView showGridLines="0" zoomScale="75" zoomScaleNormal="75" workbookViewId="0">
      <selection activeCell="H10" sqref="H10"/>
    </sheetView>
  </sheetViews>
  <sheetFormatPr baseColWidth="10" defaultColWidth="10.7109375" defaultRowHeight="12.75" customHeight="1"/>
  <cols>
    <col min="1" max="1" width="2.7109375" style="11" customWidth="1"/>
    <col min="2" max="2" width="29.28515625" style="11" customWidth="1"/>
    <col min="3" max="3" width="54.85546875" style="12" customWidth="1"/>
    <col min="4" max="16384" width="10.7109375" style="11"/>
  </cols>
  <sheetData>
    <row r="1" spans="1:3" ht="12.75" customHeight="1">
      <c r="A1" s="13"/>
      <c r="B1" s="14"/>
      <c r="C1" s="15"/>
    </row>
    <row r="2" spans="1:3" ht="12.75" customHeight="1">
      <c r="A2" s="13"/>
      <c r="B2" s="552" t="str">
        <f>'12.lan'!D91&amp;" - "&amp;'0. Intro'!B3&amp;" "&amp;'0. Intro'!C3</f>
        <v>Gemeinwohl-Bilanz-Rechner - Version 5.02</v>
      </c>
      <c r="C2" s="552"/>
    </row>
    <row r="3" spans="1:3" ht="18" customHeight="1">
      <c r="A3" s="13"/>
      <c r="B3" s="553" t="str">
        <f>'12.lan'!D62</f>
        <v>ALLGEMEINE ANGABEN ZUM UNTERNEHMEN</v>
      </c>
      <c r="C3" s="553"/>
    </row>
    <row r="4" spans="1:3" ht="22.5" customHeight="1">
      <c r="A4" s="13"/>
      <c r="B4" s="17" t="str">
        <f>'12.lan'!D63</f>
        <v>Bitte vollständig ausfüllen!</v>
      </c>
      <c r="C4" s="18"/>
    </row>
    <row r="5" spans="1:3" ht="12.75" customHeight="1">
      <c r="A5" s="13"/>
      <c r="B5" s="14"/>
      <c r="C5" s="15"/>
    </row>
    <row r="6" spans="1:3" ht="19.5" customHeight="1">
      <c r="A6" s="13"/>
      <c r="B6" s="19" t="str">
        <f>'12.lan'!D64</f>
        <v>Name des Unternehmens:</v>
      </c>
      <c r="C6" s="20"/>
    </row>
    <row r="7" spans="1:3" ht="19.5" customHeight="1">
      <c r="A7" s="13"/>
      <c r="B7" s="21" t="str">
        <f>'12.lan'!D65</f>
        <v>Anschrift:</v>
      </c>
      <c r="C7" s="20"/>
    </row>
    <row r="8" spans="1:3" ht="19.5" customHeight="1">
      <c r="A8" s="13"/>
      <c r="B8" s="21" t="str">
        <f>'12.lan'!D66</f>
        <v>Staat:</v>
      </c>
      <c r="C8" s="20"/>
    </row>
    <row r="9" spans="1:3" ht="19.5" customHeight="1">
      <c r="A9" s="13"/>
      <c r="B9" s="21" t="str">
        <f>'12.lan'!D67</f>
        <v>Branche:</v>
      </c>
      <c r="C9" s="20"/>
    </row>
    <row r="10" spans="1:3" ht="19.5" customHeight="1">
      <c r="A10" s="13"/>
      <c r="B10" s="21" t="str">
        <f>'12.lan'!D68</f>
        <v>Website:</v>
      </c>
      <c r="C10" s="441"/>
    </row>
    <row r="11" spans="1:3" ht="9.75" customHeight="1">
      <c r="A11" s="13"/>
      <c r="B11" s="22"/>
      <c r="C11" s="23"/>
    </row>
    <row r="12" spans="1:3" ht="19.5" customHeight="1">
      <c r="A12" s="13"/>
      <c r="B12" s="21" t="str">
        <f>'12.lan'!D83</f>
        <v>Bilanz-Jahr</v>
      </c>
      <c r="C12" s="20"/>
    </row>
    <row r="13" spans="1:3" ht="9.75" customHeight="1">
      <c r="A13" s="13"/>
      <c r="B13" s="24"/>
      <c r="C13" s="25"/>
    </row>
    <row r="14" spans="1:3" ht="19.5" customHeight="1">
      <c r="A14" s="13"/>
      <c r="B14" s="19" t="str">
        <f>'12.lan'!D73</f>
        <v>ErstellerIn:</v>
      </c>
      <c r="C14" s="20"/>
    </row>
    <row r="15" spans="1:3" ht="19.5" customHeight="1">
      <c r="A15" s="13"/>
      <c r="B15" s="21" t="str">
        <f>'12.lan'!D74</f>
        <v>E-Mail-Adresse:</v>
      </c>
      <c r="C15" s="20"/>
    </row>
    <row r="16" spans="1:3" ht="19.5" customHeight="1">
      <c r="A16" s="13"/>
      <c r="B16" s="21" t="str">
        <f>'12.lan'!D75</f>
        <v>Telefonnummer:</v>
      </c>
      <c r="C16" s="20"/>
    </row>
    <row r="17" spans="1:3" ht="9.75" customHeight="1">
      <c r="A17" s="13"/>
      <c r="B17" s="24"/>
      <c r="C17" s="26"/>
    </row>
    <row r="18" spans="1:3" ht="19.5" customHeight="1">
      <c r="A18" s="13"/>
      <c r="B18" s="19" t="str">
        <f>'12.lan'!D76</f>
        <v>BeraterIn:</v>
      </c>
      <c r="C18" s="20"/>
    </row>
    <row r="19" spans="1:3" ht="19.5" customHeight="1">
      <c r="A19" s="13"/>
      <c r="B19" s="21" t="str">
        <f>'12.lan'!D74</f>
        <v>E-Mail-Adresse:</v>
      </c>
      <c r="C19" s="20"/>
    </row>
    <row r="20" spans="1:3" ht="19.5" customHeight="1">
      <c r="A20" s="13"/>
      <c r="B20" s="21" t="str">
        <f>'12.lan'!D75</f>
        <v>Telefonnummer:</v>
      </c>
      <c r="C20" s="20"/>
    </row>
    <row r="21" spans="1:3" ht="9.75" customHeight="1">
      <c r="A21" s="13"/>
      <c r="B21" s="24"/>
      <c r="C21" s="26"/>
    </row>
    <row r="22" spans="1:3" ht="64.5" customHeight="1">
      <c r="A22" s="13"/>
      <c r="B22" s="27" t="str">
        <f>'12.lan'!D79</f>
        <v>Kurzbeschreibung
des Unternehmens:</v>
      </c>
      <c r="C22" s="20"/>
    </row>
    <row r="23" spans="1:3" ht="9.75" customHeight="1">
      <c r="A23" s="13"/>
      <c r="B23" s="28"/>
      <c r="C23" s="29"/>
    </row>
    <row r="24" spans="1:3" ht="64.5" customHeight="1">
      <c r="B24" s="30" t="str">
        <f>'12.lan'!D80</f>
        <v>Sonstige Anmerkungen:</v>
      </c>
      <c r="C24" s="20"/>
    </row>
    <row r="25" spans="1:3" ht="120.75" customHeight="1">
      <c r="A25" s="13"/>
      <c r="B25" s="13"/>
      <c r="C25" s="15"/>
    </row>
  </sheetData>
  <sheetProtection password="F532" sheet="1"/>
  <mergeCells count="2">
    <mergeCell ref="B2:C2"/>
    <mergeCell ref="B3:C3"/>
  </mergeCell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48"/>
  <sheetViews>
    <sheetView showGridLines="0" topLeftCell="A27" zoomScale="75" zoomScaleNormal="75" workbookViewId="0">
      <selection activeCell="E27" sqref="E27"/>
    </sheetView>
  </sheetViews>
  <sheetFormatPr baseColWidth="10" defaultColWidth="10.7109375" defaultRowHeight="12.75" customHeight="1"/>
  <cols>
    <col min="1" max="1" width="2.7109375" style="1" customWidth="1"/>
    <col min="2" max="2" width="58.28515625" style="1" customWidth="1"/>
    <col min="3" max="3" width="41" style="31" customWidth="1"/>
    <col min="4" max="4" width="25" style="1" customWidth="1"/>
    <col min="5" max="5" width="29.28515625" style="1" customWidth="1"/>
    <col min="6" max="6" width="19.28515625" style="1" customWidth="1"/>
    <col min="7" max="12" width="10.7109375" style="1"/>
    <col min="13" max="13" width="0" style="1" hidden="1" customWidth="1"/>
    <col min="14" max="16384" width="10.7109375" style="1"/>
  </cols>
  <sheetData>
    <row r="1" spans="1:13" ht="12.75" customHeight="1">
      <c r="A1" s="2"/>
      <c r="B1" s="32"/>
      <c r="C1" s="33"/>
    </row>
    <row r="2" spans="1:13" ht="12.75" customHeight="1">
      <c r="A2" s="2"/>
      <c r="B2" s="548" t="str">
        <f>'12.lan'!D91&amp;" - "&amp;'0. Intro'!B3&amp;" "&amp;'0. Intro'!C3</f>
        <v>Gemeinwohl-Bilanz-Rechner - Version 5.02</v>
      </c>
      <c r="C2" s="548"/>
      <c r="M2" s="1" t="str">
        <f>'12.lan'!D52</f>
        <v>ja</v>
      </c>
    </row>
    <row r="3" spans="1:13" ht="18" customHeight="1">
      <c r="A3" s="2"/>
      <c r="B3" s="554" t="str">
        <f>'12.lan'!D194</f>
        <v>Fakten zum Unternehmen</v>
      </c>
      <c r="C3" s="554"/>
      <c r="M3" s="1" t="str">
        <f>'12.lan'!D53</f>
        <v>nein</v>
      </c>
    </row>
    <row r="4" spans="1:13" ht="73.5" customHeight="1">
      <c r="A4" s="2"/>
      <c r="B4" s="555" t="str">
        <f>'12.lan'!D195</f>
        <v xml:space="preserve">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c r="C4" s="555"/>
    </row>
    <row r="5" spans="1:13" ht="12.75" customHeight="1">
      <c r="A5" s="2"/>
      <c r="B5" s="32"/>
      <c r="C5" s="33"/>
    </row>
    <row r="6" spans="1:13" ht="19.5" customHeight="1">
      <c r="A6" s="2"/>
      <c r="B6" s="34" t="str">
        <f>'12.lan'!B108</f>
        <v>A: Lieferant*innen</v>
      </c>
      <c r="C6" s="35"/>
      <c r="D6" s="35"/>
      <c r="E6" s="35"/>
      <c r="F6" s="35"/>
    </row>
    <row r="7" spans="1:13" ht="19.5" customHeight="1">
      <c r="A7" s="2"/>
      <c r="B7" s="36" t="str">
        <f>'12.lan'!D297</f>
        <v>Gesamt-Ausgaben an Lieferanten (in Euro):</v>
      </c>
      <c r="C7" s="37"/>
      <c r="D7" s="442" t="str">
        <f>IF(SUM(F10:F14)&gt;C7,'12.lan'!D44,"")</f>
        <v/>
      </c>
      <c r="E7" s="38"/>
      <c r="F7" s="39"/>
    </row>
    <row r="8" spans="1:13" ht="19.5" customHeight="1">
      <c r="A8" s="2"/>
      <c r="B8" s="36" t="str">
        <f>'12.lan'!D298</f>
        <v xml:space="preserve">Tragen Sie nachstehend, bitte die 5 wichtigstenBranchen ein, aus denen Sie Produkte/Dienstleistungen beziehen. </v>
      </c>
      <c r="C8" s="35"/>
      <c r="D8" s="35"/>
      <c r="E8" s="35"/>
      <c r="F8" s="35"/>
    </row>
    <row r="9" spans="1:13" ht="19.5" customHeight="1">
      <c r="A9" s="2"/>
      <c r="B9" s="34" t="str">
        <f>'12.lan'!D299</f>
        <v>Branche</v>
      </c>
      <c r="C9" s="34" t="str">
        <f>'12.lan'!D300</f>
        <v>Beschreibung</v>
      </c>
      <c r="D9" s="34" t="str">
        <f>'12.lan'!D301</f>
        <v>regionale Herkunft</v>
      </c>
      <c r="E9" s="34"/>
      <c r="F9" s="34" t="str">
        <f>'12.lan'!D302</f>
        <v>Ausgaben</v>
      </c>
    </row>
    <row r="10" spans="1:13" ht="19.5" customHeight="1">
      <c r="A10" s="2"/>
      <c r="B10" s="40" t="str">
        <f>'12.lan'!$D$203</f>
        <v>Bitte Auswählen</v>
      </c>
      <c r="C10" s="37" t="str">
        <f>'12.lan'!$D$202</f>
        <v>bitte einfügen</v>
      </c>
      <c r="D10" s="37" t="str">
        <f>'12.lan'!$D$203</f>
        <v>Bitte Auswählen</v>
      </c>
      <c r="E10" s="37"/>
      <c r="F10" s="37">
        <v>0</v>
      </c>
    </row>
    <row r="11" spans="1:13" ht="19.5" customHeight="1">
      <c r="A11" s="2"/>
      <c r="B11" s="40" t="str">
        <f>'12.lan'!$D$203</f>
        <v>Bitte Auswählen</v>
      </c>
      <c r="C11" s="37" t="str">
        <f>'12.lan'!$D$202</f>
        <v>bitte einfügen</v>
      </c>
      <c r="D11" s="37" t="str">
        <f>'12.lan'!$D$203</f>
        <v>Bitte Auswählen</v>
      </c>
      <c r="E11" s="37"/>
      <c r="F11" s="37">
        <v>0</v>
      </c>
    </row>
    <row r="12" spans="1:13" ht="19.5" customHeight="1">
      <c r="A12" s="2"/>
      <c r="B12" s="40" t="str">
        <f>'12.lan'!$D$203</f>
        <v>Bitte Auswählen</v>
      </c>
      <c r="C12" s="37" t="str">
        <f>'12.lan'!$D$202</f>
        <v>bitte einfügen</v>
      </c>
      <c r="D12" s="37" t="str">
        <f>'12.lan'!$D$203</f>
        <v>Bitte Auswählen</v>
      </c>
      <c r="E12" s="37"/>
      <c r="F12" s="37">
        <v>0</v>
      </c>
    </row>
    <row r="13" spans="1:13" ht="19.5" customHeight="1">
      <c r="A13" s="2"/>
      <c r="B13" s="40" t="str">
        <f>'12.lan'!$D$203</f>
        <v>Bitte Auswählen</v>
      </c>
      <c r="C13" s="37" t="str">
        <f>'12.lan'!$D$202</f>
        <v>bitte einfügen</v>
      </c>
      <c r="D13" s="37" t="str">
        <f>'12.lan'!$D$203</f>
        <v>Bitte Auswählen</v>
      </c>
      <c r="E13" s="37"/>
      <c r="F13" s="37">
        <v>0</v>
      </c>
    </row>
    <row r="14" spans="1:13" ht="19.5" customHeight="1">
      <c r="A14" s="2"/>
      <c r="B14" s="40" t="str">
        <f>'12.lan'!$D$203</f>
        <v>Bitte Auswählen</v>
      </c>
      <c r="C14" s="37" t="str">
        <f>'12.lan'!$D$202</f>
        <v>bitte einfügen</v>
      </c>
      <c r="D14" s="37" t="str">
        <f>'12.lan'!$D$203</f>
        <v>Bitte Auswählen</v>
      </c>
      <c r="E14" s="37"/>
      <c r="F14" s="37">
        <v>0</v>
      </c>
    </row>
    <row r="15" spans="1:13" ht="19.5" customHeight="1">
      <c r="A15" s="2"/>
      <c r="B15" s="556" t="str">
        <f>'12.lan'!$D$303</f>
        <v>Überwiegende Herkunft restlicher Lieferanten</v>
      </c>
      <c r="C15" s="556"/>
      <c r="D15" s="37" t="str">
        <f>'12.lan'!$D$203</f>
        <v>Bitte Auswählen</v>
      </c>
      <c r="E15" s="37"/>
      <c r="F15" s="41">
        <f>C7-F10-F11-F12-F13-F14</f>
        <v>0</v>
      </c>
    </row>
    <row r="16" spans="1:13" ht="9.75" customHeight="1">
      <c r="A16" s="2"/>
      <c r="B16" s="42"/>
      <c r="C16" s="43"/>
    </row>
    <row r="17" spans="1:6" ht="19.5" customHeight="1">
      <c r="A17" s="2"/>
      <c r="B17" s="34" t="str">
        <f>'12.lan'!B122</f>
        <v>B: Eigentümer*innen und Finanzpartner*innen</v>
      </c>
      <c r="C17" s="35"/>
    </row>
    <row r="18" spans="1:6" ht="19.5" customHeight="1">
      <c r="A18" s="2"/>
      <c r="B18" s="36" t="str">
        <f>'12.lan'!D304</f>
        <v>Gewinn (EBIT):</v>
      </c>
      <c r="C18" s="37">
        <v>0</v>
      </c>
    </row>
    <row r="19" spans="1:6" ht="19.5" customHeight="1">
      <c r="A19" s="2"/>
      <c r="B19" s="36" t="str">
        <f>'12.lan'!D305</f>
        <v>Finanzierungskosten</v>
      </c>
      <c r="C19" s="37">
        <v>0</v>
      </c>
    </row>
    <row r="20" spans="1:6" ht="19.5" customHeight="1">
      <c r="A20" s="2"/>
      <c r="B20" s="36" t="str">
        <f>'12.lan'!D306</f>
        <v>Erträge aus Finanzanlagen</v>
      </c>
      <c r="C20" s="37">
        <v>0</v>
      </c>
    </row>
    <row r="21" spans="1:6" ht="19.5" customHeight="1">
      <c r="A21" s="2"/>
      <c r="B21" s="36" t="str">
        <f>'12.lan'!D307</f>
        <v>Bilanzaktiva</v>
      </c>
      <c r="C21" s="37">
        <v>0</v>
      </c>
    </row>
    <row r="22" spans="1:6" ht="19.5" customHeight="1">
      <c r="A22" s="2"/>
      <c r="B22" s="36" t="str">
        <f>'12.lan'!D308</f>
        <v xml:space="preserve">Zugänge zum Anlagevermögen </v>
      </c>
      <c r="C22" s="37">
        <v>0</v>
      </c>
    </row>
    <row r="23" spans="1:6" ht="19.5" customHeight="1">
      <c r="A23" s="2"/>
      <c r="B23" s="36" t="str">
        <f>'12.lan'!D309</f>
        <v>Finanzanlagen und Barguthaben</v>
      </c>
      <c r="C23" s="37">
        <v>0</v>
      </c>
    </row>
    <row r="24" spans="1:6" ht="9.75" customHeight="1">
      <c r="A24" s="2"/>
      <c r="B24" s="42"/>
      <c r="C24" s="44"/>
    </row>
    <row r="25" spans="1:6" ht="19.5" customHeight="1">
      <c r="A25" s="2"/>
      <c r="B25" s="34" t="str">
        <f>'12.lan'!B137</f>
        <v>C: Mitarbeitende</v>
      </c>
      <c r="C25" s="35"/>
    </row>
    <row r="26" spans="1:6" ht="19.5" customHeight="1">
      <c r="A26" s="2"/>
      <c r="B26" s="36" t="str">
        <f>'12.lan'!D310</f>
        <v xml:space="preserve">Anzahl der Mitarbeitenden (in Vollzeitäquivalenten): </v>
      </c>
      <c r="C26" s="37"/>
    </row>
    <row r="27" spans="1:6" ht="19.5" customHeight="1">
      <c r="A27" s="2"/>
      <c r="B27" s="36" t="str">
        <f>'12.lan'!D311</f>
        <v>Personalkosten (brutto ohne Dienstgeberanteil)</v>
      </c>
      <c r="C27" s="37"/>
    </row>
    <row r="28" spans="1:6" ht="19.5" customHeight="1">
      <c r="A28" s="2"/>
      <c r="B28" s="36" t="str">
        <f>'12.lan'!D312</f>
        <v>Tragen Sie bitte nachstehend jene drei Länder und Regionen ein, wo die meisten Mitarbeitenden arbeiten</v>
      </c>
      <c r="C28" s="35"/>
    </row>
    <row r="29" spans="1:6" ht="19.5" customHeight="1">
      <c r="A29" s="2"/>
      <c r="B29" s="36" t="str">
        <f>'12.lan'!D313</f>
        <v>Land &amp; Region</v>
      </c>
      <c r="C29" s="36"/>
      <c r="D29" s="1" t="str">
        <f>'12.lan'!D314</f>
        <v xml:space="preserve">Anteil in % </v>
      </c>
    </row>
    <row r="30" spans="1:6" ht="19.5" customHeight="1">
      <c r="A30" s="2"/>
      <c r="B30" s="37" t="str">
        <f>'12.lan'!$D$203</f>
        <v>Bitte Auswählen</v>
      </c>
      <c r="C30" s="37"/>
      <c r="D30" s="45">
        <v>0</v>
      </c>
      <c r="E30" s="38" t="str">
        <f>IF(SUM(D30:D32)&gt;"100%","fehlerhafte Eingabe","")</f>
        <v/>
      </c>
      <c r="F30" s="38"/>
    </row>
    <row r="31" spans="1:6" ht="19.5" customHeight="1">
      <c r="A31" s="2"/>
      <c r="B31" s="37" t="str">
        <f>'12.lan'!$D$203</f>
        <v>Bitte Auswählen</v>
      </c>
      <c r="C31" s="37"/>
      <c r="D31" s="45">
        <v>0</v>
      </c>
    </row>
    <row r="32" spans="1:6" ht="19.5" customHeight="1">
      <c r="A32" s="2"/>
      <c r="B32" s="37" t="str">
        <f>'12.lan'!$D$203</f>
        <v>Bitte Auswählen</v>
      </c>
      <c r="C32" s="37"/>
      <c r="D32" s="45">
        <v>0</v>
      </c>
    </row>
    <row r="33" spans="1:6" ht="19.5" customHeight="1">
      <c r="A33" s="2"/>
      <c r="B33" s="36" t="str">
        <f>'12.lan'!D315</f>
        <v>Durchschnittlicher Arbeitsweg der Mitarbeitenden (in km):</v>
      </c>
      <c r="C33" s="37"/>
    </row>
    <row r="34" spans="1:6" ht="19.5" customHeight="1">
      <c r="A34" s="2"/>
      <c r="B34" s="36" t="str">
        <f>'12.lan'!D316</f>
        <v>Gibt es eine Kantine für die Mehrheit der Mitarbeitenden?</v>
      </c>
      <c r="C34" s="20"/>
      <c r="D34" s="46" t="s">
        <v>6</v>
      </c>
      <c r="E34" s="46"/>
      <c r="F34" s="46" t="s">
        <v>7</v>
      </c>
    </row>
    <row r="35" spans="1:6" ht="9.75" customHeight="1">
      <c r="A35" s="2"/>
      <c r="B35" s="42"/>
      <c r="C35" s="44"/>
    </row>
    <row r="36" spans="1:6" ht="19.5" customHeight="1">
      <c r="A36" s="2"/>
      <c r="B36" s="34" t="str">
        <f>'12.lan'!B158</f>
        <v>D: Kund*nnen und Mitunternehmen</v>
      </c>
      <c r="C36" s="35"/>
      <c r="D36" s="35"/>
      <c r="E36" s="35"/>
      <c r="F36" s="35"/>
    </row>
    <row r="37" spans="1:6" ht="19.5" customHeight="1">
      <c r="A37" s="2"/>
      <c r="B37" s="36" t="str">
        <f>'12.lan'!D317</f>
        <v>Umsatz (in Euro)</v>
      </c>
      <c r="C37" s="37"/>
      <c r="D37" s="39"/>
      <c r="E37" s="39"/>
      <c r="F37" s="39"/>
    </row>
    <row r="38" spans="1:6" ht="19.5" customHeight="1">
      <c r="A38" s="2"/>
      <c r="B38" s="36" t="str">
        <f>'12.lan'!D318</f>
        <v>Haben Sie nahezu ausschließlich Unternehmen als Kunden</v>
      </c>
      <c r="C38" s="20"/>
      <c r="D38" s="39"/>
      <c r="E38" s="47"/>
      <c r="F38" s="47"/>
    </row>
    <row r="39" spans="1:6" ht="19.5" customHeight="1">
      <c r="A39" s="2"/>
      <c r="B39" s="36" t="str">
        <f>'12.lan'!D319</f>
        <v>Tragen Sie nachstehend, bitte die 3 wichtigsten Branchen ein, in denen Ihr Unternehmen tätig ist, inklusive ungefährem Umsatzanteil</v>
      </c>
      <c r="C39" s="35"/>
      <c r="D39" s="35"/>
      <c r="E39" s="44"/>
    </row>
    <row r="40" spans="1:6" ht="19.5" customHeight="1">
      <c r="A40" s="2"/>
      <c r="B40" s="36" t="str">
        <f>'12.lan'!D320</f>
        <v>Branche</v>
      </c>
      <c r="C40" s="36" t="str">
        <f>'12.lan'!D321</f>
        <v>Beschreibung</v>
      </c>
      <c r="D40" s="36" t="str">
        <f>'12.lan'!D322</f>
        <v>% Anteil am Gesamtumsatz</v>
      </c>
      <c r="E40" s="48"/>
    </row>
    <row r="41" spans="1:6" ht="19.5" customHeight="1">
      <c r="A41" s="2"/>
      <c r="B41" s="37" t="str">
        <f>'12.lan'!$D$203</f>
        <v>Bitte Auswählen</v>
      </c>
      <c r="C41" s="37"/>
      <c r="D41" s="45">
        <v>0</v>
      </c>
      <c r="E41" s="49"/>
      <c r="F41" s="50" t="str">
        <f>IF(SUM(D41:D43)&gt;"100%","fehlerhafte Eingabe","")</f>
        <v/>
      </c>
    </row>
    <row r="42" spans="1:6" ht="19.5" customHeight="1">
      <c r="A42" s="2"/>
      <c r="B42" s="37" t="str">
        <f>'12.lan'!$D$203</f>
        <v>Bitte Auswählen</v>
      </c>
      <c r="C42" s="37"/>
      <c r="D42" s="45">
        <v>0</v>
      </c>
      <c r="E42" s="49"/>
    </row>
    <row r="43" spans="1:6" ht="19.5" customHeight="1">
      <c r="A43" s="2"/>
      <c r="B43" s="37" t="str">
        <f>'12.lan'!$D$203</f>
        <v>Bitte Auswählen</v>
      </c>
      <c r="C43" s="37"/>
      <c r="D43" s="45">
        <v>0</v>
      </c>
      <c r="E43" s="49"/>
      <c r="F43" s="443" t="str">
        <f>IF(SUM(D41:D43)&gt;1,'12.lan'!D44,"")</f>
        <v/>
      </c>
    </row>
    <row r="44" spans="1:6" ht="9.75" customHeight="1">
      <c r="A44" s="2"/>
      <c r="B44" s="42"/>
      <c r="C44" s="44"/>
    </row>
    <row r="45" spans="1:6" ht="19.5" customHeight="1">
      <c r="A45" s="2"/>
      <c r="B45" s="34" t="str">
        <f>'12.lan'!B175</f>
        <v>E: Gesellschaftliches Umfeld</v>
      </c>
      <c r="C45" s="35"/>
      <c r="D45" s="35"/>
      <c r="E45" s="35"/>
      <c r="F45" s="35"/>
    </row>
    <row r="46" spans="1:6" ht="19.5" customHeight="1">
      <c r="A46" s="2"/>
      <c r="B46" s="36" t="str">
        <f>'12.lan'!D323</f>
        <v xml:space="preserve">Unternehmensgrösse </v>
      </c>
      <c r="C46" s="36" t="str">
        <f>'9. Weighting'!H39</f>
        <v>Kleinstunternehmen</v>
      </c>
    </row>
    <row r="47" spans="1:6" ht="9.75" customHeight="1">
      <c r="A47" s="2"/>
      <c r="B47" s="42"/>
      <c r="C47" s="44"/>
    </row>
    <row r="48" spans="1:6" ht="9.75" customHeight="1">
      <c r="A48" s="2"/>
      <c r="B48" s="42"/>
      <c r="C48" s="44"/>
    </row>
  </sheetData>
  <sheetProtection algorithmName="SHA-512" hashValue="Sv9oTxbMWzll0vrkWdV/ezJKroGC37xbPdEmyunHI4XN6x6NHMBRTNjvts8I67ye1yTmp6rAegvj8X/e2j811w==" saltValue="4C9F8MG6yOAAYIpB6DeJ/Q==" spinCount="100000" sheet="1"/>
  <mergeCells count="4">
    <mergeCell ref="B2:C2"/>
    <mergeCell ref="B3:C3"/>
    <mergeCell ref="B4:C4"/>
    <mergeCell ref="B15:C15"/>
  </mergeCells>
  <conditionalFormatting sqref="F10:F14">
    <cfRule type="cellIs" dxfId="25" priority="1" stopIfTrue="1" operator="equal">
      <formula>0</formula>
    </cfRule>
    <cfRule type="cellIs" dxfId="24" priority="2" stopIfTrue="1" operator="equal">
      <formula>0</formula>
    </cfRule>
  </conditionalFormatting>
  <conditionalFormatting sqref="C18:C23">
    <cfRule type="cellIs" dxfId="23" priority="3" stopIfTrue="1" operator="equal">
      <formula>0</formula>
    </cfRule>
  </conditionalFormatting>
  <conditionalFormatting sqref="C26:C27">
    <cfRule type="cellIs" dxfId="22" priority="4" stopIfTrue="1" operator="equal">
      <formula>0</formula>
    </cfRule>
  </conditionalFormatting>
  <conditionalFormatting sqref="D30:D32">
    <cfRule type="cellIs" dxfId="21" priority="5" stopIfTrue="1" operator="equal">
      <formula>0</formula>
    </cfRule>
  </conditionalFormatting>
  <conditionalFormatting sqref="C33">
    <cfRule type="cellIs" dxfId="20" priority="6" stopIfTrue="1" operator="equal">
      <formula>0</formula>
    </cfRule>
  </conditionalFormatting>
  <conditionalFormatting sqref="D41:D43">
    <cfRule type="cellIs" dxfId="19" priority="7" stopIfTrue="1" operator="equal">
      <formula>0</formula>
    </cfRule>
  </conditionalFormatting>
  <conditionalFormatting sqref="C37">
    <cfRule type="cellIs" dxfId="18" priority="8" stopIfTrue="1" operator="equal">
      <formula>0</formula>
    </cfRule>
  </conditionalFormatting>
  <conditionalFormatting sqref="B41:B43">
    <cfRule type="cellIs" dxfId="17" priority="9" stopIfTrue="1" operator="equal">
      <formula>"S - Andere Dienstleistungen"</formula>
    </cfRule>
  </conditionalFormatting>
  <conditionalFormatting sqref="C7">
    <cfRule type="cellIs" dxfId="16" priority="10" stopIfTrue="1" operator="equal">
      <formula>0</formula>
    </cfRule>
    <cfRule type="cellIs" dxfId="15" priority="11" stopIfTrue="1" operator="equal">
      <formula>0</formula>
    </cfRule>
  </conditionalFormatting>
  <dataValidations count="6">
    <dataValidation type="list" operator="equal" allowBlank="1" showErrorMessage="1" sqref="B13:B14" xr:uid="{00000000-0002-0000-0200-000000000000}">
      <formula1>Branchen</formula1>
      <formula2>0</formula2>
    </dataValidation>
    <dataValidation type="list" operator="equal" allowBlank="1" showErrorMessage="1" sqref="D13:D15 B32" xr:uid="{00000000-0002-0000-0200-000001000000}">
      <formula1>CountryCodes</formula1>
      <formula2>0</formula2>
    </dataValidation>
    <dataValidation operator="equal" allowBlank="1" showErrorMessage="1" sqref="E10:E15 B15:C15 C30:C32" xr:uid="{00000000-0002-0000-0200-000002000000}">
      <formula1>0</formula1>
      <formula2>0</formula2>
    </dataValidation>
    <dataValidation type="list" operator="equal" allowBlank="1" showErrorMessage="1" sqref="B30:B31 D10:D12" xr:uid="{00000000-0002-0000-0200-000003000000}">
      <formula1>CountryCodes</formula1>
    </dataValidation>
    <dataValidation type="list" operator="equal" allowBlank="1" showErrorMessage="1" sqref="B41:B43 B10:B12" xr:uid="{00000000-0002-0000-0200-000005000000}">
      <formula1>Branchen</formula1>
    </dataValidation>
    <dataValidation type="list" allowBlank="1" showInputMessage="1" showErrorMessage="1" sqref="C38 C34" xr:uid="{00000000-0002-0000-0200-000006000000}">
      <formula1>$M$2:$M$3</formula1>
    </dataValidation>
  </dataValidation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O86"/>
  <sheetViews>
    <sheetView showGridLines="0" zoomScale="75" zoomScaleNormal="75" workbookViewId="0">
      <pane ySplit="8" topLeftCell="A20" activePane="bottomLeft" state="frozen"/>
      <selection pane="bottomLeft" activeCell="D10" sqref="D10"/>
    </sheetView>
  </sheetViews>
  <sheetFormatPr baseColWidth="10" defaultColWidth="10.7109375" defaultRowHeight="12.75" customHeight="1"/>
  <cols>
    <col min="1" max="1" width="1.28515625" style="11" customWidth="1"/>
    <col min="2" max="2" width="6.7109375" style="51" customWidth="1"/>
    <col min="3" max="3" width="68.7109375" style="52" customWidth="1"/>
    <col min="4" max="4" width="6.28515625" style="53" customWidth="1"/>
    <col min="5" max="5" width="12.7109375" style="53" customWidth="1"/>
    <col min="6" max="6" width="42.7109375" style="51" customWidth="1"/>
    <col min="7" max="7" width="4.28515625" style="51" customWidth="1"/>
    <col min="8" max="8" width="8.140625" style="53" customWidth="1"/>
    <col min="9" max="9" width="7.28515625" style="54" customWidth="1"/>
    <col min="10" max="10" width="7.28515625" style="55" customWidth="1"/>
    <col min="11" max="11" width="9.7109375" style="11" hidden="1" customWidth="1"/>
    <col min="12" max="12" width="12" style="11" hidden="1" customWidth="1"/>
    <col min="13" max="13" width="4.85546875" style="11" hidden="1" customWidth="1"/>
    <col min="14" max="14" width="21.140625" style="11" customWidth="1"/>
    <col min="15" max="15" width="10.7109375" style="11" hidden="1" customWidth="1"/>
    <col min="16" max="16" width="10.7109375" style="11"/>
    <col min="17" max="17" width="13.7109375" style="11" bestFit="1" customWidth="1"/>
    <col min="18" max="16384" width="10.7109375" style="11"/>
  </cols>
  <sheetData>
    <row r="1" spans="1:15" ht="12.75" customHeight="1">
      <c r="A1" s="13"/>
      <c r="B1" s="14"/>
      <c r="C1" s="22"/>
      <c r="D1" s="56"/>
      <c r="E1" s="56"/>
      <c r="F1" s="14"/>
      <c r="G1" s="14"/>
      <c r="H1" s="56"/>
      <c r="I1" s="57"/>
      <c r="J1" s="58"/>
    </row>
    <row r="2" spans="1:15" ht="12.75" customHeight="1">
      <c r="A2" s="13"/>
      <c r="B2" s="552" t="str">
        <f>'12.lan'!D91&amp;" - "&amp;'0. Intro'!B3&amp;" "&amp;'0. Intro'!C3</f>
        <v>Gemeinwohl-Bilanz-Rechner - Version 5.02</v>
      </c>
      <c r="C2" s="552"/>
      <c r="D2" s="56"/>
      <c r="E2" s="56"/>
      <c r="F2" s="14"/>
      <c r="G2" s="59"/>
      <c r="H2" s="564"/>
      <c r="I2" s="564"/>
      <c r="J2" s="564"/>
    </row>
    <row r="3" spans="1:15" ht="5.25" customHeight="1">
      <c r="A3" s="13"/>
      <c r="B3" s="565" t="str">
        <f>'12.lan'!D90</f>
        <v>BERECHNUNG DER EINZELNEN ASPEKTE</v>
      </c>
      <c r="C3" s="565"/>
      <c r="D3" s="565"/>
      <c r="E3" s="60"/>
      <c r="F3" s="61"/>
      <c r="G3" s="14"/>
      <c r="H3" s="564"/>
      <c r="I3" s="564"/>
      <c r="J3" s="564"/>
    </row>
    <row r="4" spans="1:15" ht="19.5" customHeight="1">
      <c r="A4" s="13"/>
      <c r="B4" s="565"/>
      <c r="C4" s="565"/>
      <c r="D4" s="565"/>
      <c r="E4" s="60"/>
      <c r="F4" s="566" t="str">
        <f>'12.lan'!D92</f>
        <v>BILANZSUMME:</v>
      </c>
      <c r="G4" s="62"/>
      <c r="H4" s="567">
        <f>I4/J4</f>
        <v>0</v>
      </c>
      <c r="I4" s="568">
        <f>IF(SUM(I9+I21+I33+I46+I59)*1000/SUM(J9+J21+J33+J46+J59)&lt;-3600,-3600,SUM(I9+I21+I33+I46+I59)*1000/SUM(J9+J21+J33+J46+J59))</f>
        <v>0</v>
      </c>
      <c r="J4" s="569">
        <f>SUM(J9+J21+J33+J46+J59)*1000/SUM(J9+J21+J33+J46+J59)</f>
        <v>1000</v>
      </c>
      <c r="L4" s="63" t="s">
        <v>9</v>
      </c>
      <c r="M4" s="63"/>
      <c r="N4" s="64"/>
      <c r="O4" s="11" t="s">
        <v>10</v>
      </c>
    </row>
    <row r="5" spans="1:15" ht="12.75" customHeight="1">
      <c r="A5" s="13"/>
      <c r="B5" s="570" t="str">
        <f>'12.lan'!D82&amp;": "&amp;'1. General'!C6&amp;"; "&amp;'12.lan'!D83&amp;": "&amp;'1. General'!C12</f>
        <v xml:space="preserve">Unternehmen: ; Bilanz-Jahr: </v>
      </c>
      <c r="C5" s="570"/>
      <c r="D5" s="570"/>
      <c r="E5" s="65"/>
      <c r="F5" s="566"/>
      <c r="G5" s="66"/>
      <c r="H5" s="567"/>
      <c r="I5" s="568"/>
      <c r="J5" s="569"/>
    </row>
    <row r="6" spans="1:15" ht="13.5" customHeight="1">
      <c r="A6" s="13"/>
      <c r="B6" s="14"/>
      <c r="C6" s="22"/>
      <c r="D6" s="56"/>
      <c r="E6" s="56"/>
      <c r="F6" s="14"/>
      <c r="G6" s="14"/>
      <c r="H6" s="56"/>
      <c r="I6" s="57"/>
      <c r="J6" s="58"/>
    </row>
    <row r="7" spans="1:15" ht="29.25" customHeight="1">
      <c r="A7" s="13"/>
      <c r="B7" s="571"/>
      <c r="C7" s="571"/>
      <c r="D7" s="571"/>
      <c r="E7" s="571"/>
      <c r="F7" s="571"/>
      <c r="G7" s="571"/>
      <c r="H7" s="571"/>
      <c r="I7" s="571"/>
      <c r="J7" s="571"/>
    </row>
    <row r="8" spans="1:15" ht="30" customHeight="1">
      <c r="A8" s="13"/>
      <c r="B8" s="67" t="str">
        <f>'12.lan'!D93</f>
        <v>Nr.</v>
      </c>
      <c r="C8" s="67" t="str">
        <f>'12.lan'!D107</f>
        <v>Berührungsgruppe/Themen/Aspekte</v>
      </c>
      <c r="D8" s="572" t="str">
        <f>'12.lan'!D96</f>
        <v>Gewichtung</v>
      </c>
      <c r="E8" s="572"/>
      <c r="F8" s="68" t="str">
        <f>'12.lan'!D102</f>
        <v>Erläuterung</v>
      </c>
      <c r="G8" s="68"/>
      <c r="H8" s="69" t="str">
        <f>'12.lan'!D104</f>
        <v>Erfüll.</v>
      </c>
      <c r="I8" s="70" t="str">
        <f>'12.lan'!D105</f>
        <v>Pkte</v>
      </c>
      <c r="J8" s="70" t="str">
        <f>'12.lan'!D106</f>
        <v>Max.</v>
      </c>
      <c r="L8" s="71" t="s">
        <v>11</v>
      </c>
      <c r="M8" s="71"/>
      <c r="O8" s="72" t="s">
        <v>12</v>
      </c>
    </row>
    <row r="9" spans="1:15" ht="36" customHeight="1">
      <c r="A9" s="13"/>
      <c r="B9" s="73" t="s">
        <v>13</v>
      </c>
      <c r="C9" s="573" t="str">
        <f>'12.lan'!D108</f>
        <v>Lieferant*innen</v>
      </c>
      <c r="D9" s="573"/>
      <c r="E9" s="573"/>
      <c r="F9" s="573"/>
      <c r="G9" s="573"/>
      <c r="H9" s="74">
        <f>IF(J9&lt;&gt;0,ROUND(N9,1),"-")</f>
        <v>0</v>
      </c>
      <c r="I9" s="75">
        <f>I10+I13+I16+I19</f>
        <v>0</v>
      </c>
      <c r="J9" s="75">
        <f>J10+J13+J16+J19</f>
        <v>179.48717948717947</v>
      </c>
      <c r="N9" s="76">
        <f>I9/J9</f>
        <v>0</v>
      </c>
    </row>
    <row r="10" spans="1:15" ht="33" customHeight="1">
      <c r="A10" s="13"/>
      <c r="B10" s="77" t="s">
        <v>14</v>
      </c>
      <c r="C10" s="78" t="str">
        <f>'12.lan'!D109</f>
        <v>Menschenwürde in der Zulieferkette</v>
      </c>
      <c r="D10" s="79">
        <f>IF(K10="trifft nicht zu",C85,'9. Weighting'!M16)</f>
        <v>1</v>
      </c>
      <c r="E10" s="80" t="str">
        <f>VLOOKUP(D10,$C$81:$D$85,2,FALSE)</f>
        <v>mittel</v>
      </c>
      <c r="F10" s="81">
        <f>'9. Weighting'!M16</f>
        <v>1</v>
      </c>
      <c r="G10" s="78"/>
      <c r="H10" s="82">
        <f>IF(J10&lt;&gt;0,ROUND(SUM(I11:I12)/J10,1),"-")</f>
        <v>0</v>
      </c>
      <c r="I10" s="83">
        <f>IF(J10=0,0,H10*J10)</f>
        <v>0</v>
      </c>
      <c r="J10" s="83">
        <f>'9. Weighting'!M15</f>
        <v>51.282051282051277</v>
      </c>
      <c r="K10" s="64"/>
      <c r="L10" s="11">
        <f>VLOOKUP(O10,$C$81:$E$85,3,FALSE)</f>
        <v>1</v>
      </c>
      <c r="M10" s="11">
        <f>VLOOKUP(D10,$C$81:$E$85,3,FALSE)</f>
        <v>1</v>
      </c>
      <c r="N10" s="84" t="str">
        <f>IF(L10=M10,"",'12.lan'!$D$240&amp;VLOOKUP(L10,$C$81:$D$85,2,FALSE)&amp;" ("&amp;L10&amp;")")</f>
        <v/>
      </c>
      <c r="O10" s="11">
        <f>IF(K10="trifft nicht zu",C85,'9. Weighting'!M16)</f>
        <v>1</v>
      </c>
    </row>
    <row r="11" spans="1:15" ht="33.75" customHeight="1">
      <c r="A11" s="13"/>
      <c r="B11" s="557" t="str">
        <f>B10</f>
        <v>A1</v>
      </c>
      <c r="C11" s="85" t="str">
        <f>C10</f>
        <v>Menschenwürde in der Zulieferkette</v>
      </c>
      <c r="D11" s="531"/>
      <c r="E11" s="97"/>
      <c r="F11" s="86" t="str">
        <f>'12.lan'!$D$329</f>
        <v>Skalenwert eingeben: Wert muss im Bereich von 0 bis 10 liegen.</v>
      </c>
      <c r="G11" s="87"/>
      <c r="H11" s="88">
        <v>0</v>
      </c>
      <c r="I11" s="89">
        <f>J11*H11/10</f>
        <v>0</v>
      </c>
      <c r="J11" s="89">
        <f>J10*K11/K11</f>
        <v>51.282051282051277</v>
      </c>
      <c r="K11" s="11">
        <v>1</v>
      </c>
      <c r="N11" s="84"/>
    </row>
    <row r="12" spans="1:15" ht="30" customHeight="1">
      <c r="A12" s="13"/>
      <c r="B12" s="563"/>
      <c r="C12" s="85" t="str">
        <f>'12.lan'!D111</f>
        <v>Negativ-Aspekt: Verletzung der Menschenwürde in der Zulieferkette</v>
      </c>
      <c r="D12" s="531"/>
      <c r="E12" s="97"/>
      <c r="F12" s="86" t="str">
        <f>'12.lan'!$D$330</f>
        <v>Negativpunkte eingeben: Werte müssen im Bereich von -200 bis 0 liegen.</v>
      </c>
      <c r="G12" s="87"/>
      <c r="H12" s="88">
        <v>0</v>
      </c>
      <c r="I12" s="89">
        <f>H12*J10/50</f>
        <v>0</v>
      </c>
      <c r="J12" s="89">
        <f>-200*J10/50</f>
        <v>-205.12820512820511</v>
      </c>
    </row>
    <row r="13" spans="1:15" ht="33" customHeight="1">
      <c r="A13" s="13"/>
      <c r="B13" s="77" t="s">
        <v>17</v>
      </c>
      <c r="C13" s="78" t="str">
        <f>'12.lan'!D112</f>
        <v>Solidarität und Gerechtigkeit in der Zulieferkette</v>
      </c>
      <c r="D13" s="79">
        <f>IF(K13="trifft nicht zu",C85,'9. Weighting'!N16)</f>
        <v>1</v>
      </c>
      <c r="E13" s="80" t="str">
        <f>VLOOKUP(D13,$C$81:$D$85,2,FALSE)</f>
        <v>mittel</v>
      </c>
      <c r="F13" s="90">
        <f>IF(K13="trifft nicht zu","trifft nicht zu",'9. Weighting'!N16)</f>
        <v>1</v>
      </c>
      <c r="G13" s="91"/>
      <c r="H13" s="82">
        <f>IF(J13&lt;&gt;0,ROUND(SUM(I14:I15)/J13,1),"-")</f>
        <v>0</v>
      </c>
      <c r="I13" s="83">
        <f>IF(J13=0,0,H13*J13)</f>
        <v>0</v>
      </c>
      <c r="J13" s="83">
        <f>'9. Weighting'!N15</f>
        <v>51.282051282051277</v>
      </c>
      <c r="K13" s="64" t="str">
        <f>IF(D14="trifft nicht zu","trifft nicht zu","")</f>
        <v/>
      </c>
      <c r="L13" s="11">
        <f>VLOOKUP(O13,$C$81:$E$85,3,FALSE)</f>
        <v>1</v>
      </c>
      <c r="M13" s="11">
        <f>VLOOKUP(D13,$C$81:$E$85,3,FALSE)</f>
        <v>1</v>
      </c>
      <c r="N13" s="84" t="str">
        <f>IF(L13=M13,"",'12.lan'!$D$240&amp;VLOOKUP(L13,$C$81:$D$85,2,FALSE)&amp;" ("&amp;L13&amp;")")</f>
        <v/>
      </c>
      <c r="O13" s="11">
        <f>IF(K13="trifft nicht zu",C85,'9. Weighting'!N16)</f>
        <v>1</v>
      </c>
    </row>
    <row r="14" spans="1:15" ht="30" customHeight="1">
      <c r="A14" s="13"/>
      <c r="B14" s="557" t="str">
        <f>B13</f>
        <v>A2</v>
      </c>
      <c r="C14" s="85" t="str">
        <f>C13</f>
        <v>Solidarität und Gerechtigkeit in der Zulieferkette</v>
      </c>
      <c r="D14" s="531"/>
      <c r="E14" s="97"/>
      <c r="F14" s="86" t="str">
        <f>'12.lan'!$D$329</f>
        <v>Skalenwert eingeben: Wert muss im Bereich von 0 bis 10 liegen.</v>
      </c>
      <c r="G14" s="87"/>
      <c r="H14" s="88">
        <v>0</v>
      </c>
      <c r="I14" s="89">
        <f>IFERROR(J14*H14/10,0)</f>
        <v>0</v>
      </c>
      <c r="J14" s="89">
        <f>J13*K14/K14</f>
        <v>51.282051282051277</v>
      </c>
      <c r="K14" s="11">
        <v>1</v>
      </c>
      <c r="N14" s="84"/>
    </row>
    <row r="15" spans="1:15" ht="33" customHeight="1">
      <c r="A15" s="13"/>
      <c r="B15" s="563"/>
      <c r="C15" s="85" t="str">
        <f>'12.lan'!D115</f>
        <v>Negativ-Aspekt: Ausnutzung der Marktmacht gegenüber Lieferant*innen</v>
      </c>
      <c r="D15" s="531"/>
      <c r="E15" s="97"/>
      <c r="F15" s="86" t="str">
        <f>'12.lan'!$D$330</f>
        <v>Negativpunkte eingeben: Werte müssen im Bereich von -200 bis 0 liegen.</v>
      </c>
      <c r="G15" s="87"/>
      <c r="H15" s="88">
        <v>0</v>
      </c>
      <c r="I15" s="89">
        <f>H15*J13/50</f>
        <v>0</v>
      </c>
      <c r="J15" s="89">
        <f>-200*J13/50</f>
        <v>-205.12820512820511</v>
      </c>
    </row>
    <row r="16" spans="1:15" ht="33" customHeight="1">
      <c r="A16" s="13"/>
      <c r="B16" s="77" t="s">
        <v>21</v>
      </c>
      <c r="C16" s="78" t="str">
        <f>'12.lan'!D116</f>
        <v>Ökologische Nachhaltigkeit in der Zulieferkette</v>
      </c>
      <c r="D16" s="79">
        <f>IF(K16="trifft nicht zu",C85,'9. Weighting'!O16)</f>
        <v>1</v>
      </c>
      <c r="E16" s="80" t="str">
        <f>VLOOKUP(D16,$C$81:$D$85,2,FALSE)</f>
        <v>mittel</v>
      </c>
      <c r="F16" s="90">
        <f>IF(K16="trifft nicht zu","trifft nicht zu",'9. Weighting'!O16)</f>
        <v>1</v>
      </c>
      <c r="G16" s="91"/>
      <c r="H16" s="82">
        <f>IF(J16&lt;&gt;0,ROUND(SUM(I17:I18)/J16,1),"-")</f>
        <v>0</v>
      </c>
      <c r="I16" s="83">
        <f>IF(J16=0,0,H16*J16)</f>
        <v>0</v>
      </c>
      <c r="J16" s="83">
        <f>'9. Weighting'!O15</f>
        <v>51.282051282051277</v>
      </c>
      <c r="K16" s="64" t="str">
        <f>IF(D17="trifft nicht zu","trifft nicht zu","")</f>
        <v/>
      </c>
      <c r="L16" s="11">
        <f>VLOOKUP(O16,$C$81:$E$85,3,FALSE)</f>
        <v>1</v>
      </c>
      <c r="M16" s="11">
        <f>VLOOKUP(D16,$C$81:$E$85,3,FALSE)</f>
        <v>1</v>
      </c>
      <c r="N16" s="84" t="str">
        <f>IF(L16=M16,"",'12.lan'!$D$240&amp;VLOOKUP(L16,$C$81:$D$85,2,FALSE)&amp;" ("&amp;L16&amp;")")</f>
        <v/>
      </c>
      <c r="O16" s="11">
        <f>IF(K16="trifft nicht zu",C85,'9. Weighting'!O16)</f>
        <v>1</v>
      </c>
    </row>
    <row r="17" spans="1:15" ht="30" customHeight="1">
      <c r="A17" s="13"/>
      <c r="B17" s="557" t="str">
        <f>B16</f>
        <v>A3</v>
      </c>
      <c r="C17" s="85" t="str">
        <f>C16</f>
        <v>Ökologische Nachhaltigkeit in der Zulieferkette</v>
      </c>
      <c r="D17" s="531"/>
      <c r="E17" s="97"/>
      <c r="F17" s="86" t="str">
        <f>'12.lan'!$D$329</f>
        <v>Skalenwert eingeben: Wert muss im Bereich von 0 bis 10 liegen.</v>
      </c>
      <c r="G17" s="87"/>
      <c r="H17" s="88">
        <v>0</v>
      </c>
      <c r="I17" s="89">
        <f>J17*H17/10</f>
        <v>0</v>
      </c>
      <c r="J17" s="89">
        <f>J16*K17/K17</f>
        <v>51.282051282051277</v>
      </c>
      <c r="K17" s="11">
        <v>1</v>
      </c>
      <c r="N17" s="84"/>
    </row>
    <row r="18" spans="1:15" ht="33" customHeight="1">
      <c r="A18" s="13"/>
      <c r="B18" s="563"/>
      <c r="C18" s="85" t="str">
        <f>'12.lan'!D118</f>
        <v>Negativ-Aspekt:Unverhältnismäßig hohe Umweltauswirkungen in der Zulieferkette</v>
      </c>
      <c r="D18" s="531"/>
      <c r="E18" s="97"/>
      <c r="F18" s="86" t="str">
        <f>'12.lan'!$D$330</f>
        <v>Negativpunkte eingeben: Werte müssen im Bereich von -200 bis 0 liegen.</v>
      </c>
      <c r="G18" s="87"/>
      <c r="H18" s="88">
        <v>0</v>
      </c>
      <c r="I18" s="89">
        <f>H18*J16/50</f>
        <v>0</v>
      </c>
      <c r="J18" s="89">
        <f>-200*J16/50</f>
        <v>-205.12820512820511</v>
      </c>
    </row>
    <row r="19" spans="1:15" ht="33" customHeight="1">
      <c r="A19" s="13"/>
      <c r="B19" s="77" t="s">
        <v>24</v>
      </c>
      <c r="C19" s="78" t="str">
        <f>'12.lan'!D119</f>
        <v>Transparenz und Mitentscheidung in der Zulieferkette</v>
      </c>
      <c r="D19" s="79">
        <f>IF(K19="trifft nicht zu",C85,'9. Weighting'!P16)</f>
        <v>0.5</v>
      </c>
      <c r="E19" s="80" t="str">
        <f>VLOOKUP(D19,$C$81:$D$85,2,FALSE)</f>
        <v>niedrig</v>
      </c>
      <c r="F19" s="90">
        <f>IF(K19="trifft nicht zu","trifft nicht zu",'9. Weighting'!P16)</f>
        <v>0.5</v>
      </c>
      <c r="G19" s="91"/>
      <c r="H19" s="82">
        <f>IF(J19&lt;&gt;0,ROUND(SUM(I20:I20)/J19,1),"-")</f>
        <v>0</v>
      </c>
      <c r="I19" s="83">
        <f>IF(J19=0,0,H19*J19)</f>
        <v>0</v>
      </c>
      <c r="J19" s="83">
        <f>'9. Weighting'!P15</f>
        <v>25.641025641025639</v>
      </c>
      <c r="K19" s="64" t="str">
        <f>IF(D20="trifft nicht zu","trifft nicht zu","")</f>
        <v/>
      </c>
      <c r="L19" s="11">
        <f>VLOOKUP(O19,$C$81:$E$85,3,FALSE)</f>
        <v>0.5</v>
      </c>
      <c r="M19" s="11">
        <f>VLOOKUP(D19,$C$81:$E$85,3,FALSE)</f>
        <v>0.5</v>
      </c>
      <c r="N19" s="84" t="str">
        <f>IF(L19=M19,"",'12.lan'!$D$240&amp;VLOOKUP(L19,$C$81:$D$85,2,FALSE)&amp;" ("&amp;L19&amp;")")</f>
        <v/>
      </c>
      <c r="O19" s="11">
        <f>IF(K19="trifft nicht zu",C85,'9. Weighting'!P16)</f>
        <v>0.5</v>
      </c>
    </row>
    <row r="20" spans="1:15" ht="36.75" customHeight="1">
      <c r="A20" s="13"/>
      <c r="B20" s="85" t="str">
        <f>B19</f>
        <v>A4</v>
      </c>
      <c r="C20" s="85" t="str">
        <f>C19</f>
        <v>Transparenz und Mitentscheidung in der Zulieferkette</v>
      </c>
      <c r="D20" s="531"/>
      <c r="E20" s="97"/>
      <c r="F20" s="86" t="str">
        <f>'12.lan'!$D$329</f>
        <v>Skalenwert eingeben: Wert muss im Bereich von 0 bis 10 liegen.</v>
      </c>
      <c r="G20" s="87"/>
      <c r="H20" s="88">
        <v>0</v>
      </c>
      <c r="I20" s="89">
        <f>IFERROR(J20*H20/10,0)</f>
        <v>0</v>
      </c>
      <c r="J20" s="89">
        <f>J19*K20/K20</f>
        <v>25.641025641025639</v>
      </c>
      <c r="K20" s="11">
        <v>1</v>
      </c>
      <c r="N20" s="84"/>
    </row>
    <row r="21" spans="1:15" ht="36" customHeight="1">
      <c r="A21" s="13"/>
      <c r="B21" s="73" t="s">
        <v>27</v>
      </c>
      <c r="C21" s="73" t="str">
        <f>'12.lan'!D122</f>
        <v>Eigentümer*innen und Finanzpartner*innen</v>
      </c>
      <c r="D21" s="92"/>
      <c r="E21" s="93"/>
      <c r="F21" s="93"/>
      <c r="G21" s="93"/>
      <c r="H21" s="74">
        <f>I21/J21</f>
        <v>0</v>
      </c>
      <c r="I21" s="75">
        <f>I22+I24+I27+I30</f>
        <v>0</v>
      </c>
      <c r="J21" s="75">
        <f>J22+J24+J27+J30</f>
        <v>205.12820512820511</v>
      </c>
    </row>
    <row r="22" spans="1:15" ht="33" customHeight="1">
      <c r="A22" s="13"/>
      <c r="B22" s="77" t="s">
        <v>28</v>
      </c>
      <c r="C22" s="78" t="str">
        <f>'12.lan'!D123</f>
        <v>Ethische Haltung im Umgang mit Geldmitteln</v>
      </c>
      <c r="D22" s="79">
        <f>IF(K22="trifft nicht zu",C85,'9. Weighting'!M24)</f>
        <v>1</v>
      </c>
      <c r="E22" s="94" t="str">
        <f>VLOOKUP(D22,$C$81:$D$85,2,FALSE)</f>
        <v>mittel</v>
      </c>
      <c r="F22" s="90">
        <f>IF(K22="trifft nicht zu","trifft nicht zu",'9. Weighting'!M24)</f>
        <v>1</v>
      </c>
      <c r="G22" s="91"/>
      <c r="H22" s="82">
        <f>IF(J22&lt;&gt;0,ROUND(SUM(I23:I23)/J22,1),"-")</f>
        <v>0</v>
      </c>
      <c r="I22" s="83">
        <f>IF(J22=0,0,H22*J22)</f>
        <v>0</v>
      </c>
      <c r="J22" s="83">
        <f>'9. Weighting'!M23</f>
        <v>51.282051282051277</v>
      </c>
      <c r="K22" s="64" t="str">
        <f>IF(D23="trifft nicht zu","trifft nicht zu","")</f>
        <v/>
      </c>
      <c r="L22" s="11">
        <f>VLOOKUP(O22,$C$81:$E$85,3,FALSE)</f>
        <v>1</v>
      </c>
      <c r="M22" s="11">
        <f>VLOOKUP(D22,$C$81:$E$85,3,FALSE)</f>
        <v>1</v>
      </c>
      <c r="N22" s="84" t="str">
        <f>IF(L22=M22,"",'12.lan'!$D$240&amp;VLOOKUP(L22,$C$81:$D$85,2,FALSE)&amp;" ("&amp;L22&amp;")")</f>
        <v/>
      </c>
      <c r="O22" s="95">
        <f>IF(K22="trifft nicht zu",C85,'9. Weighting'!M24)</f>
        <v>1</v>
      </c>
    </row>
    <row r="23" spans="1:15" ht="30" customHeight="1">
      <c r="A23" s="13"/>
      <c r="B23" s="96" t="str">
        <f>B22</f>
        <v>B1</v>
      </c>
      <c r="C23" s="85" t="str">
        <f>C22</f>
        <v>Ethische Haltung im Umgang mit Geldmitteln</v>
      </c>
      <c r="D23" s="531"/>
      <c r="E23" s="97"/>
      <c r="F23" s="86" t="str">
        <f>'12.lan'!$D$329</f>
        <v>Skalenwert eingeben: Wert muss im Bereich von 0 bis 10 liegen.</v>
      </c>
      <c r="G23" s="87"/>
      <c r="H23" s="88">
        <v>0</v>
      </c>
      <c r="I23" s="89">
        <f>IFERROR(J23*H23/10,0)</f>
        <v>0</v>
      </c>
      <c r="J23" s="89">
        <f>J22*K23/K23</f>
        <v>51.282051282051277</v>
      </c>
      <c r="K23" s="11">
        <v>1</v>
      </c>
      <c r="N23" s="84"/>
    </row>
    <row r="24" spans="1:15" ht="33" customHeight="1">
      <c r="A24" s="13"/>
      <c r="B24" s="77" t="s">
        <v>32</v>
      </c>
      <c r="C24" s="78" t="str">
        <f>'12.lan'!D127</f>
        <v>Soziale Haltung im Umgang mit Geldmitteln</v>
      </c>
      <c r="D24" s="79">
        <f>IF(K24="trifft nicht zu",C85,'9. Weighting'!N24)</f>
        <v>1</v>
      </c>
      <c r="E24" s="94" t="str">
        <f>VLOOKUP(D24,$C$81:$D$85,2,FALSE)</f>
        <v>mittel</v>
      </c>
      <c r="F24" s="90">
        <f>IF(K24="trifft nicht zu","trifft nicht zu",'9. Weighting'!N24)</f>
        <v>1</v>
      </c>
      <c r="G24" s="91"/>
      <c r="H24" s="82">
        <f>IF(J24&lt;&gt;0,ROUND(SUM(I25:I26)/J24,1),"-")</f>
        <v>0</v>
      </c>
      <c r="I24" s="83">
        <f>IF(J24=0,0,H24*J24)</f>
        <v>0</v>
      </c>
      <c r="J24" s="83">
        <f>'9. Weighting'!N23</f>
        <v>51.282051282051277</v>
      </c>
      <c r="L24" s="11">
        <f>VLOOKUP(O24,$C$81:$E$85,3,FALSE)</f>
        <v>1</v>
      </c>
      <c r="M24" s="11">
        <f>VLOOKUP(D24,$C$81:$E$85,3,FALSE)</f>
        <v>1</v>
      </c>
      <c r="N24" s="84" t="str">
        <f>IF(L24=M24,"",'12.lan'!$D$240&amp;VLOOKUP(L24,$C$81:$D$85,2,FALSE)&amp;" ("&amp;L24&amp;")")</f>
        <v/>
      </c>
      <c r="O24" s="95">
        <f>IF(K24="trifft nicht zu",C85,'9. Weighting'!N24)</f>
        <v>1</v>
      </c>
    </row>
    <row r="25" spans="1:15" ht="30" customHeight="1">
      <c r="A25" s="13"/>
      <c r="B25" s="559" t="str">
        <f>B24</f>
        <v>B2</v>
      </c>
      <c r="C25" s="85" t="str">
        <f>C24</f>
        <v>Soziale Haltung im Umgang mit Geldmitteln</v>
      </c>
      <c r="D25" s="532"/>
      <c r="E25" s="530"/>
      <c r="F25" s="86" t="str">
        <f>'12.lan'!$D$329</f>
        <v>Skalenwert eingeben: Wert muss im Bereich von 0 bis 10 liegen.</v>
      </c>
      <c r="G25" s="87"/>
      <c r="H25" s="88">
        <v>0</v>
      </c>
      <c r="I25" s="89">
        <f>J25*H25/10</f>
        <v>0</v>
      </c>
      <c r="J25" s="89">
        <f>$J$24*K25/(K25)</f>
        <v>51.282051282051277</v>
      </c>
      <c r="K25" s="11">
        <v>1</v>
      </c>
      <c r="N25" s="84"/>
    </row>
    <row r="26" spans="1:15" ht="30" customHeight="1">
      <c r="A26" s="13"/>
      <c r="B26" s="562"/>
      <c r="C26" s="30" t="str">
        <f>'12.lan'!D129</f>
        <v>Negativ-Aspekt: Unfaire Verteilung von Geldmittel</v>
      </c>
      <c r="D26" s="533"/>
      <c r="E26" s="97"/>
      <c r="F26" s="86" t="str">
        <f>'12.lan'!$D$330</f>
        <v>Negativpunkte eingeben: Werte müssen im Bereich von -200 bis 0 liegen.</v>
      </c>
      <c r="G26" s="87"/>
      <c r="H26" s="88">
        <v>0</v>
      </c>
      <c r="I26" s="89">
        <f>H26*J24/50</f>
        <v>0</v>
      </c>
      <c r="J26" s="89">
        <f>-200*J24/50</f>
        <v>-205.12820512820511</v>
      </c>
    </row>
    <row r="27" spans="1:15" ht="33" customHeight="1">
      <c r="A27" s="13"/>
      <c r="B27" s="77" t="s">
        <v>35</v>
      </c>
      <c r="C27" s="78" t="str">
        <f>'12.lan'!D130</f>
        <v>Sozial-ökologische Investitionen und Mittelverwendung</v>
      </c>
      <c r="D27" s="79">
        <f>IF(K27="trifft nicht zu",C85,'9. Weighting'!O24)</f>
        <v>1</v>
      </c>
      <c r="E27" s="94" t="str">
        <f>VLOOKUP(D27,$C$81:$D$85,2,FALSE)</f>
        <v>mittel</v>
      </c>
      <c r="F27" s="90">
        <f>IF(K27="trifft nicht zu","trifft nicht zu",'9. Weighting'!O24)</f>
        <v>1</v>
      </c>
      <c r="G27" s="91"/>
      <c r="H27" s="82">
        <f>IF(J27&lt;&gt;0,ROUND(SUM(I28:I29)/J27,1),"-")</f>
        <v>0</v>
      </c>
      <c r="I27" s="83">
        <f>IF(J27=0,0,H27*J27)</f>
        <v>0</v>
      </c>
      <c r="J27" s="83">
        <f>'9. Weighting'!O23</f>
        <v>51.282051282051277</v>
      </c>
      <c r="K27" s="64" t="str">
        <f>IF(D28="trifft nicht zu","trifft nicht zu","")</f>
        <v/>
      </c>
      <c r="L27" s="11">
        <f>VLOOKUP(O27,$C$81:$E$85,3,FALSE)</f>
        <v>1</v>
      </c>
      <c r="M27" s="11">
        <f>VLOOKUP(D27,$C$81:$E$85,3,FALSE)</f>
        <v>1</v>
      </c>
      <c r="N27" s="84" t="str">
        <f>IF(L27=M27,"",'12.lan'!$D$240&amp;VLOOKUP(L27,$C$81:$D$85,2,FALSE)&amp;" ("&amp;L27&amp;")")</f>
        <v/>
      </c>
      <c r="O27" s="95">
        <f>IF(K27="trifft nicht zu",C85,'9. Weighting'!O24)</f>
        <v>1</v>
      </c>
    </row>
    <row r="28" spans="1:15" ht="30" customHeight="1">
      <c r="A28" s="13"/>
      <c r="B28" s="559" t="str">
        <f>B27</f>
        <v>B3</v>
      </c>
      <c r="C28" s="85" t="str">
        <f>C27</f>
        <v>Sozial-ökologische Investitionen und Mittelverwendung</v>
      </c>
      <c r="D28" s="531"/>
      <c r="E28" s="97"/>
      <c r="F28" s="86" t="str">
        <f>'12.lan'!$D$329</f>
        <v>Skalenwert eingeben: Wert muss im Bereich von 0 bis 10 liegen.</v>
      </c>
      <c r="G28" s="87"/>
      <c r="H28" s="88">
        <v>0</v>
      </c>
      <c r="I28" s="89">
        <f>IFERROR(J28*H28/10,0)</f>
        <v>0</v>
      </c>
      <c r="J28" s="89">
        <f>J27*K28/K28</f>
        <v>51.282051282051277</v>
      </c>
      <c r="K28" s="11">
        <v>1</v>
      </c>
      <c r="N28" s="84"/>
    </row>
    <row r="29" spans="1:15" ht="30" customHeight="1">
      <c r="A29" s="13"/>
      <c r="B29" s="562"/>
      <c r="C29" s="30" t="str">
        <f>'12.lan'!D133</f>
        <v>Negativ-Aspekt: Abhängigkeit von ökologisch bedenklichen Ressourcen</v>
      </c>
      <c r="D29" s="531"/>
      <c r="E29" s="97"/>
      <c r="F29" s="86" t="str">
        <f>'12.lan'!$D$330</f>
        <v>Negativpunkte eingeben: Werte müssen im Bereich von -200 bis 0 liegen.</v>
      </c>
      <c r="G29" s="87"/>
      <c r="H29" s="88">
        <v>0</v>
      </c>
      <c r="I29" s="89">
        <f>H29*J27/50</f>
        <v>0</v>
      </c>
      <c r="J29" s="89">
        <f>-200*J27/50</f>
        <v>-205.12820512820511</v>
      </c>
    </row>
    <row r="30" spans="1:15" ht="33" customHeight="1">
      <c r="A30" s="13"/>
      <c r="B30" s="77" t="s">
        <v>39</v>
      </c>
      <c r="C30" s="78" t="str">
        <f>'12.lan'!D134</f>
        <v>Eigentum und Mitentscheidung</v>
      </c>
      <c r="D30" s="79">
        <f>IF(K30="trifft nicht zu",C85,'9. Weighting'!P24)</f>
        <v>1</v>
      </c>
      <c r="E30" s="94" t="str">
        <f>VLOOKUP(D30,$C$81:$D$85,2,FALSE)</f>
        <v>mittel</v>
      </c>
      <c r="F30" s="90">
        <f>IF(K30="trifft nicht zu","trifft nicht zu",'9. Weighting'!P24)</f>
        <v>1</v>
      </c>
      <c r="G30" s="91"/>
      <c r="H30" s="82">
        <f>IF(J30&lt;&gt;0,ROUND(SUM(I31:I32)/J30,1),"-")</f>
        <v>0</v>
      </c>
      <c r="I30" s="83">
        <f>IF(J30=0,0,H30*J30)</f>
        <v>0</v>
      </c>
      <c r="J30" s="83">
        <f>'9. Weighting'!P23</f>
        <v>51.282051282051277</v>
      </c>
      <c r="L30" s="11">
        <f>VLOOKUP(O30,$C$81:$E$85,3,FALSE)</f>
        <v>1</v>
      </c>
      <c r="M30" s="11">
        <f>VLOOKUP(D30,$C$81:$E$85,3,FALSE)</f>
        <v>1</v>
      </c>
      <c r="N30" s="84" t="str">
        <f>IF(L30=M30,"",'12.lan'!$D$240&amp;VLOOKUP(L30,$C$81:$D$85,2,FALSE)&amp;" ("&amp;L30&amp;")")</f>
        <v/>
      </c>
      <c r="O30" s="11">
        <f>IF(K30="trifft nicht zu",C85,'9. Weighting'!P24)</f>
        <v>1</v>
      </c>
    </row>
    <row r="31" spans="1:15" ht="30" customHeight="1">
      <c r="A31" s="13"/>
      <c r="B31" s="559" t="str">
        <f>B30</f>
        <v>B4</v>
      </c>
      <c r="C31" s="85" t="str">
        <f>C30</f>
        <v>Eigentum und Mitentscheidung</v>
      </c>
      <c r="D31" s="531"/>
      <c r="E31" s="97"/>
      <c r="F31" s="86" t="str">
        <f>'12.lan'!$D$329</f>
        <v>Skalenwert eingeben: Wert muss im Bereich von 0 bis 10 liegen.</v>
      </c>
      <c r="G31" s="87"/>
      <c r="H31" s="88">
        <v>0</v>
      </c>
      <c r="I31" s="89">
        <f>J31*H31/10</f>
        <v>0</v>
      </c>
      <c r="J31" s="89">
        <f>$J$30*K31/(K31)</f>
        <v>51.282051282051277</v>
      </c>
      <c r="K31" s="11">
        <v>1</v>
      </c>
    </row>
    <row r="32" spans="1:15" ht="30" customHeight="1">
      <c r="A32" s="13"/>
      <c r="B32" s="562"/>
      <c r="C32" s="30" t="str">
        <f>'12.lan'!D136</f>
        <v>Negativ-Aspekt: Feindliche Übernahme</v>
      </c>
      <c r="D32" s="531"/>
      <c r="E32" s="97"/>
      <c r="F32" s="86" t="str">
        <f>'12.lan'!$D$330</f>
        <v>Negativpunkte eingeben: Werte müssen im Bereich von -200 bis 0 liegen.</v>
      </c>
      <c r="G32" s="87"/>
      <c r="H32" s="88">
        <v>0</v>
      </c>
      <c r="I32" s="89">
        <f>H32*J30/50</f>
        <v>0</v>
      </c>
      <c r="J32" s="89">
        <f>-200*J30/50</f>
        <v>-205.12820512820511</v>
      </c>
    </row>
    <row r="33" spans="1:15" ht="36" customHeight="1">
      <c r="A33" s="13"/>
      <c r="B33" s="73" t="s">
        <v>42</v>
      </c>
      <c r="C33" s="73" t="str">
        <f>'12.lan'!D137</f>
        <v>Mitarbeitende</v>
      </c>
      <c r="D33" s="92"/>
      <c r="E33" s="98"/>
      <c r="F33" s="93"/>
      <c r="G33" s="93"/>
      <c r="H33" s="74">
        <f>I33/J33</f>
        <v>0</v>
      </c>
      <c r="I33" s="75">
        <f>I34+I37+I40+I43</f>
        <v>0</v>
      </c>
      <c r="J33" s="75">
        <f>J34+J37+J40+J43</f>
        <v>205.12820512820511</v>
      </c>
    </row>
    <row r="34" spans="1:15" ht="32.25" customHeight="1">
      <c r="A34" s="13"/>
      <c r="B34" s="77" t="s">
        <v>43</v>
      </c>
      <c r="C34" s="78" t="str">
        <f>'12.lan'!D138</f>
        <v>Menschenwürde am Arbeitsplatz</v>
      </c>
      <c r="D34" s="79">
        <f>IF(K34="trifft nicht zu",C85,'9. Weighting'!M30)</f>
        <v>1</v>
      </c>
      <c r="E34" s="94" t="str">
        <f>VLOOKUP(D34,$C$81:$D$85,2,FALSE)</f>
        <v>mittel</v>
      </c>
      <c r="F34" s="90">
        <f>IF(K34="trifft nicht zu","trifft nicht zu",'9. Weighting'!M30)</f>
        <v>1</v>
      </c>
      <c r="G34" s="91"/>
      <c r="H34" s="82">
        <f>IF(J34&lt;&gt;0,ROUND(SUM(I35:I36)/J34,1),"-")</f>
        <v>0</v>
      </c>
      <c r="I34" s="83">
        <f>IF(J34=0,0,H34*J34)</f>
        <v>0</v>
      </c>
      <c r="J34" s="83">
        <f>'9. Weighting'!M29</f>
        <v>51.282051282051277</v>
      </c>
      <c r="K34" s="64" t="str">
        <f>IF(D35="trifft nicht zu","trifft nicht zu","")</f>
        <v/>
      </c>
      <c r="L34" s="11">
        <f>VLOOKUP(O34,$C$81:$E$85,3,FALSE)</f>
        <v>1</v>
      </c>
      <c r="M34" s="11">
        <f>VLOOKUP(D34,$C$81:$E$85,3,FALSE)</f>
        <v>1</v>
      </c>
      <c r="N34" s="84" t="str">
        <f>IF(L34=M34,"",'12.lan'!$D$240&amp;VLOOKUP(L34,$C$81:$D$85,2,FALSE)&amp;" ("&amp;L34&amp;")")</f>
        <v/>
      </c>
      <c r="O34" s="11">
        <f>IF(K34="trifft nicht zu",C85,'9. Weighting'!M30)</f>
        <v>1</v>
      </c>
    </row>
    <row r="35" spans="1:15" ht="30" customHeight="1">
      <c r="A35" s="13"/>
      <c r="B35" s="557" t="str">
        <f>B34</f>
        <v>C1</v>
      </c>
      <c r="C35" s="85" t="str">
        <f>C34</f>
        <v>Menschenwürde am Arbeitsplatz</v>
      </c>
      <c r="D35" s="531"/>
      <c r="E35" s="97"/>
      <c r="F35" s="86" t="str">
        <f>'12.lan'!$D$329</f>
        <v>Skalenwert eingeben: Wert muss im Bereich von 0 bis 10 liegen.</v>
      </c>
      <c r="G35" s="87"/>
      <c r="H35" s="88">
        <v>0</v>
      </c>
      <c r="I35" s="89">
        <f>IFERROR(J35*H35/10,0)</f>
        <v>0</v>
      </c>
      <c r="J35" s="89">
        <f>J34*K35/K35</f>
        <v>51.282051282051277</v>
      </c>
      <c r="K35" s="11">
        <v>1</v>
      </c>
      <c r="N35" s="84"/>
    </row>
    <row r="36" spans="1:15" ht="30" customHeight="1">
      <c r="A36" s="13"/>
      <c r="B36" s="558"/>
      <c r="C36" s="99" t="str">
        <f>'12.lan'!D142</f>
        <v>Negativ-Aspekt: Menschenunwürdige Arbeitsbedingungen</v>
      </c>
      <c r="D36" s="531"/>
      <c r="E36" s="97"/>
      <c r="F36" s="86" t="str">
        <f>'12.lan'!$D$330</f>
        <v>Negativpunkte eingeben: Werte müssen im Bereich von -200 bis 0 liegen.</v>
      </c>
      <c r="G36" s="87"/>
      <c r="H36" s="88">
        <v>0</v>
      </c>
      <c r="I36" s="89">
        <f>H36*J34/50</f>
        <v>0</v>
      </c>
      <c r="J36" s="89">
        <f>-200*J34/50</f>
        <v>-205.12820512820511</v>
      </c>
    </row>
    <row r="37" spans="1:15" ht="33" customHeight="1">
      <c r="A37" s="13"/>
      <c r="B37" s="77" t="s">
        <v>48</v>
      </c>
      <c r="C37" s="78" t="str">
        <f>'12.lan'!D143</f>
        <v>Ausgestaltung der Arbeitsverträge</v>
      </c>
      <c r="D37" s="79">
        <f>IF(K37="trifft nicht zu",C85,'9. Weighting'!N30)</f>
        <v>1</v>
      </c>
      <c r="E37" s="94" t="str">
        <f>VLOOKUP(D37,$C$81:$D$85,2,FALSE)</f>
        <v>mittel</v>
      </c>
      <c r="F37" s="90">
        <f>IF(K37="trifft nicht zu","trifft nicht zu",'9. Weighting'!N30)</f>
        <v>1</v>
      </c>
      <c r="G37" s="91"/>
      <c r="H37" s="82">
        <f>IF(J37&lt;&gt;0,ROUND(SUM(I38:I39)/J37,1),"-")</f>
        <v>0</v>
      </c>
      <c r="I37" s="83">
        <f>IF(J37=0,0,H37*J37)</f>
        <v>0</v>
      </c>
      <c r="J37" s="83">
        <f>'9. Weighting'!N29</f>
        <v>51.282051282051277</v>
      </c>
      <c r="K37" s="64" t="str">
        <f>IF(D38="trifft nicht zu","trifft nicht zu","")</f>
        <v/>
      </c>
      <c r="L37" s="11">
        <f>VLOOKUP(O37,$C$81:$E$85,3,FALSE)</f>
        <v>1</v>
      </c>
      <c r="M37" s="11">
        <f>VLOOKUP(D37,$C$81:$E$85,3,FALSE)</f>
        <v>1</v>
      </c>
      <c r="N37" s="84" t="str">
        <f>IF(L37=M37,"",'12.lan'!$D$240&amp;VLOOKUP(L37,$C$81:$D$85,2,FALSE)&amp;" ("&amp;L37&amp;")")</f>
        <v/>
      </c>
      <c r="O37" s="11">
        <f>IF(K37="trifft nicht zu",C85,'9. Weighting'!N30)</f>
        <v>1</v>
      </c>
    </row>
    <row r="38" spans="1:15" ht="30" customHeight="1">
      <c r="A38" s="13"/>
      <c r="B38" s="559" t="str">
        <f>B37</f>
        <v>C2</v>
      </c>
      <c r="C38" s="85" t="str">
        <f>C37</f>
        <v>Ausgestaltung der Arbeitsverträge</v>
      </c>
      <c r="D38" s="531"/>
      <c r="E38" s="97"/>
      <c r="F38" s="86" t="str">
        <f>'12.lan'!$D$329</f>
        <v>Skalenwert eingeben: Wert muss im Bereich von 0 bis 10 liegen.</v>
      </c>
      <c r="G38" s="87"/>
      <c r="H38" s="88">
        <v>0</v>
      </c>
      <c r="I38" s="89">
        <f>IFERROR(J38*H38/10,0)</f>
        <v>0</v>
      </c>
      <c r="J38" s="89">
        <f>J37*K38/K38</f>
        <v>51.282051282051277</v>
      </c>
      <c r="K38" s="11">
        <v>1</v>
      </c>
      <c r="N38" s="84"/>
    </row>
    <row r="39" spans="1:15" ht="33" customHeight="1">
      <c r="A39" s="13"/>
      <c r="B39" s="561"/>
      <c r="C39" s="99" t="str">
        <f>'12.lan'!D147</f>
        <v>Negativ-Aspekt: Ungerechte Ausgestaltung der Arbeitsverträge</v>
      </c>
      <c r="D39" s="531"/>
      <c r="E39" s="97"/>
      <c r="F39" s="86" t="str">
        <f>'12.lan'!$D$330</f>
        <v>Negativpunkte eingeben: Werte müssen im Bereich von -200 bis 0 liegen.</v>
      </c>
      <c r="G39" s="87"/>
      <c r="H39" s="88">
        <v>0</v>
      </c>
      <c r="I39" s="89">
        <f>H39*J37/50</f>
        <v>0</v>
      </c>
      <c r="J39" s="89">
        <f>-200*J37/50</f>
        <v>-205.12820512820511</v>
      </c>
    </row>
    <row r="40" spans="1:15" ht="33" customHeight="1">
      <c r="A40" s="13"/>
      <c r="B40" s="77" t="s">
        <v>53</v>
      </c>
      <c r="C40" s="78" t="str">
        <f>'12.lan'!D148</f>
        <v>Förderung des ökologischen Verhaltens der Mitarbeitenden</v>
      </c>
      <c r="D40" s="79">
        <f>IF(K40="trifft nicht zu",C85,'9. Weighting'!O30)</f>
        <v>1</v>
      </c>
      <c r="E40" s="94" t="str">
        <f>VLOOKUP(D40,$C$81:$D$85,2,FALSE)</f>
        <v>mittel</v>
      </c>
      <c r="F40" s="90">
        <f>IF(K40="trifft nicht zu","trifft nicht zu",'9. Weighting'!O30)</f>
        <v>1</v>
      </c>
      <c r="G40" s="91"/>
      <c r="H40" s="82">
        <f>IF(J40&lt;&gt;0,ROUND(SUM(I41:I42)/J40,1),"-")</f>
        <v>0</v>
      </c>
      <c r="I40" s="83">
        <f>IF(J40=0,0,H40*J40)</f>
        <v>0</v>
      </c>
      <c r="J40" s="83">
        <f>'9. Weighting'!O29</f>
        <v>51.282051282051277</v>
      </c>
      <c r="K40" s="64" t="str">
        <f>IF(D41="trifft nicht zu","trifft nicht zu","")</f>
        <v/>
      </c>
      <c r="L40" s="11">
        <f>VLOOKUP(O40,$C$81:$E$85,3,FALSE)</f>
        <v>1</v>
      </c>
      <c r="M40" s="11">
        <f>VLOOKUP(D40,$C$81:$E$85,3,FALSE)</f>
        <v>1</v>
      </c>
      <c r="N40" s="84" t="str">
        <f>IF(L40=M40,"",'12.lan'!$D$240&amp;VLOOKUP(L40,$C$81:$D$85,2,FALSE)&amp;" ("&amp;L40&amp;")")</f>
        <v/>
      </c>
      <c r="O40" s="11">
        <f>IF(K40="trifft nicht zu",C85,'9. Weighting'!O30)</f>
        <v>1</v>
      </c>
    </row>
    <row r="41" spans="1:15" ht="30" customHeight="1">
      <c r="A41" s="13"/>
      <c r="B41" s="559" t="str">
        <f>B40</f>
        <v>C3</v>
      </c>
      <c r="C41" s="85" t="str">
        <f>C40</f>
        <v>Förderung des ökologischen Verhaltens der Mitarbeitenden</v>
      </c>
      <c r="D41" s="531"/>
      <c r="E41" s="97"/>
      <c r="F41" s="86" t="str">
        <f>'12.lan'!$D$329</f>
        <v>Skalenwert eingeben: Wert muss im Bereich von 0 bis 10 liegen.</v>
      </c>
      <c r="G41" s="87"/>
      <c r="H41" s="88">
        <v>0</v>
      </c>
      <c r="I41" s="89">
        <f>IFERROR(J41*H41/10,0)</f>
        <v>0</v>
      </c>
      <c r="J41" s="89">
        <f>J40*K41/K41</f>
        <v>51.282051282051277</v>
      </c>
      <c r="K41" s="11">
        <v>1</v>
      </c>
      <c r="N41" s="84"/>
    </row>
    <row r="42" spans="1:15" ht="33.75" customHeight="1">
      <c r="A42" s="13"/>
      <c r="B42" s="561"/>
      <c r="C42" s="99" t="str">
        <f>'12.lan'!D152</f>
        <v>Negativ-Aspekt: Anleitung zur Verschwendung / Duldung unökologischen Verhaltens</v>
      </c>
      <c r="D42" s="531"/>
      <c r="E42" s="97"/>
      <c r="F42" s="86" t="str">
        <f>'12.lan'!$D$330</f>
        <v>Negativpunkte eingeben: Werte müssen im Bereich von -200 bis 0 liegen.</v>
      </c>
      <c r="G42" s="87"/>
      <c r="H42" s="88">
        <v>0</v>
      </c>
      <c r="I42" s="89">
        <f>H42*J40/50</f>
        <v>0</v>
      </c>
      <c r="J42" s="89">
        <f>-200*J40/50</f>
        <v>-205.12820512820511</v>
      </c>
    </row>
    <row r="43" spans="1:15" ht="33" customHeight="1">
      <c r="A43" s="13"/>
      <c r="B43" s="77" t="s">
        <v>58</v>
      </c>
      <c r="C43" s="78" t="str">
        <f>'12.lan'!D153</f>
        <v>Innerbetriebliche Mitentscheidung und Transparenz</v>
      </c>
      <c r="D43" s="79">
        <f>IF(K43="trifft nicht zu",C85,'9. Weighting'!P30)</f>
        <v>1</v>
      </c>
      <c r="E43" s="94" t="str">
        <f>VLOOKUP(D43,$C$81:$D$85,2,FALSE)</f>
        <v>mittel</v>
      </c>
      <c r="F43" s="90">
        <f>IF(K43="trifft nicht zu","trifft nicht zu",'9. Weighting'!P30)</f>
        <v>1</v>
      </c>
      <c r="G43" s="91"/>
      <c r="H43" s="82">
        <f>IF(J43&lt;&gt;0,ROUND(SUM(I44:I45)/J43,1),"-")</f>
        <v>0</v>
      </c>
      <c r="I43" s="83">
        <f>IF(J43=0,0,H43*J43)</f>
        <v>0</v>
      </c>
      <c r="J43" s="83">
        <f>'9. Weighting'!P29</f>
        <v>51.282051282051277</v>
      </c>
      <c r="K43" s="64" t="str">
        <f>IF(D44="trifft nicht zu","trifft nicht zu","")</f>
        <v/>
      </c>
      <c r="L43" s="11">
        <f>VLOOKUP(O43,$C$81:$E$85,3,FALSE)</f>
        <v>1</v>
      </c>
      <c r="M43" s="11">
        <f>VLOOKUP(D43,$C$81:$E$85,3,FALSE)</f>
        <v>1</v>
      </c>
      <c r="N43" s="84" t="str">
        <f>IF(L43=M43,"",'12.lan'!$D$240&amp;VLOOKUP(L43,$C$81:$D$85,2,FALSE)&amp;" ("&amp;L43&amp;")")</f>
        <v/>
      </c>
      <c r="O43" s="11">
        <f>IF(K43="trifft nicht zu",C85,'9. Weighting'!P30)</f>
        <v>1</v>
      </c>
    </row>
    <row r="44" spans="1:15" ht="30" customHeight="1">
      <c r="A44" s="13"/>
      <c r="B44" s="559" t="str">
        <f>B43</f>
        <v>C4</v>
      </c>
      <c r="C44" s="85" t="str">
        <f>C43</f>
        <v>Innerbetriebliche Mitentscheidung und Transparenz</v>
      </c>
      <c r="D44" s="531"/>
      <c r="E44" s="97"/>
      <c r="F44" s="86" t="str">
        <f>'12.lan'!$D$329</f>
        <v>Skalenwert eingeben: Wert muss im Bereich von 0 bis 10 liegen.</v>
      </c>
      <c r="G44" s="87"/>
      <c r="H44" s="88">
        <v>0</v>
      </c>
      <c r="I44" s="89">
        <f>IFERROR(J44*H44/10,0)</f>
        <v>0</v>
      </c>
      <c r="J44" s="89">
        <f>J43*K44/K44</f>
        <v>51.282051282051277</v>
      </c>
      <c r="K44" s="11">
        <v>1</v>
      </c>
      <c r="N44" s="84"/>
    </row>
    <row r="45" spans="1:15" ht="30" customHeight="1">
      <c r="A45" s="13"/>
      <c r="B45" s="561"/>
      <c r="C45" s="101" t="str">
        <f>'12.lan'!D157</f>
        <v>Negativ-Aspekt C4.4: Verhinderung des Betriebsrates</v>
      </c>
      <c r="D45" s="531"/>
      <c r="E45" s="97"/>
      <c r="F45" s="86" t="str">
        <f>'12.lan'!$D$330</f>
        <v>Negativpunkte eingeben: Werte müssen im Bereich von -200 bis 0 liegen.</v>
      </c>
      <c r="G45" s="87"/>
      <c r="H45" s="88">
        <v>0</v>
      </c>
      <c r="I45" s="89">
        <f>H45*J43/50</f>
        <v>0</v>
      </c>
      <c r="J45" s="89">
        <f>-200*J43/50</f>
        <v>-205.12820512820511</v>
      </c>
    </row>
    <row r="46" spans="1:15" ht="36" customHeight="1">
      <c r="A46" s="13"/>
      <c r="B46" s="73" t="s">
        <v>63</v>
      </c>
      <c r="C46" s="73" t="str">
        <f>'12.lan'!D158</f>
        <v>Kund*nnen und Mitunternehmen</v>
      </c>
      <c r="D46" s="92"/>
      <c r="E46" s="98"/>
      <c r="F46" s="93"/>
      <c r="G46" s="93"/>
      <c r="H46" s="74">
        <f>I46/J46</f>
        <v>0</v>
      </c>
      <c r="I46" s="75">
        <f>I47+I50+I53+I56</f>
        <v>0</v>
      </c>
      <c r="J46" s="75">
        <f>J47+J50+J53+J56</f>
        <v>205.12820512820511</v>
      </c>
    </row>
    <row r="47" spans="1:15" ht="33" customHeight="1">
      <c r="A47" s="13"/>
      <c r="B47" s="77" t="s">
        <v>64</v>
      </c>
      <c r="C47" s="78" t="str">
        <f>'12.lan'!D159</f>
        <v>Ethische Kund*innenbeziehungen</v>
      </c>
      <c r="D47" s="79">
        <f>IF(K47="trifft nicht zu",C85,'9. Weighting'!M37)</f>
        <v>1</v>
      </c>
      <c r="E47" s="94" t="str">
        <f>VLOOKUP(D47,$C$81:$D$85,2,FALSE)</f>
        <v>mittel</v>
      </c>
      <c r="F47" s="90">
        <f>IF(K47="trifft nicht zu","trifft nicht zu",'9. Weighting'!M37)</f>
        <v>1</v>
      </c>
      <c r="G47" s="91"/>
      <c r="H47" s="82">
        <f>IF(J47&lt;&gt;0,ROUND(SUM(I48:I49)/J47,1),"-")</f>
        <v>0</v>
      </c>
      <c r="I47" s="83">
        <f>IF(J47=0,0,H47*J47)</f>
        <v>0</v>
      </c>
      <c r="J47" s="83">
        <f>'9. Weighting'!M36</f>
        <v>51.282051282051277</v>
      </c>
      <c r="K47" s="64" t="str">
        <f>IF(D48="trifft nicht zu","trifft nicht zu","")</f>
        <v/>
      </c>
      <c r="L47" s="11">
        <f>VLOOKUP(O47,$C$81:$E$85,3,FALSE)</f>
        <v>1</v>
      </c>
      <c r="M47" s="11">
        <f>VLOOKUP(D47,$C$81:$E$85,3,FALSE)</f>
        <v>1</v>
      </c>
      <c r="N47" s="84" t="str">
        <f>IF(L47=M47,"",'12.lan'!$D$240&amp;VLOOKUP(L47,$C$81:$D$85,2,FALSE)&amp;" ("&amp;L47&amp;")")</f>
        <v/>
      </c>
      <c r="O47" s="11">
        <f>IF(K47="trifft nicht zu",C85,'9. Weighting'!M37)</f>
        <v>1</v>
      </c>
    </row>
    <row r="48" spans="1:15" ht="30" customHeight="1">
      <c r="A48" s="13"/>
      <c r="B48" s="557" t="str">
        <f>B47</f>
        <v>D1</v>
      </c>
      <c r="C48" s="85" t="str">
        <f>C47</f>
        <v>Ethische Kund*innenbeziehungen</v>
      </c>
      <c r="D48" s="531"/>
      <c r="E48" s="97"/>
      <c r="F48" s="86" t="str">
        <f>'12.lan'!$D$329</f>
        <v>Skalenwert eingeben: Wert muss im Bereich von 0 bis 10 liegen.</v>
      </c>
      <c r="G48" s="87"/>
      <c r="H48" s="88">
        <v>0</v>
      </c>
      <c r="I48" s="89">
        <f>IFERROR(J48*H48/10,0)</f>
        <v>0</v>
      </c>
      <c r="J48" s="89">
        <f>J47*K48/K48</f>
        <v>51.282051282051277</v>
      </c>
      <c r="K48" s="11">
        <v>1</v>
      </c>
      <c r="N48" s="84"/>
    </row>
    <row r="49" spans="1:15" ht="30" customHeight="1">
      <c r="A49" s="13"/>
      <c r="B49" s="563"/>
      <c r="C49" s="30" t="str">
        <f>'12.lan'!D162</f>
        <v>Negativ-Aspekt: Unethische Werbemaßnahmen</v>
      </c>
      <c r="D49" s="531"/>
      <c r="E49" s="97"/>
      <c r="F49" s="86" t="str">
        <f>'12.lan'!$D$330</f>
        <v>Negativpunkte eingeben: Werte müssen im Bereich von -200 bis 0 liegen.</v>
      </c>
      <c r="G49" s="87"/>
      <c r="H49" s="88">
        <v>0</v>
      </c>
      <c r="I49" s="89">
        <f>H49*J47/50</f>
        <v>0</v>
      </c>
      <c r="J49" s="89">
        <f>-200*J47/50</f>
        <v>-205.12820512820511</v>
      </c>
    </row>
    <row r="50" spans="1:15" ht="33" customHeight="1">
      <c r="A50" s="13"/>
      <c r="B50" s="77" t="s">
        <v>68</v>
      </c>
      <c r="C50" s="78" t="str">
        <f>'12.lan'!D163</f>
        <v>Kooperation und Solidarität mit Mitunternehmen</v>
      </c>
      <c r="D50" s="79">
        <f>IF(K50="trifft nicht zu",C85,'9. Weighting'!N37)</f>
        <v>1</v>
      </c>
      <c r="E50" s="94" t="str">
        <f>VLOOKUP(D50,$C$81:$D$85,2,FALSE)</f>
        <v>mittel</v>
      </c>
      <c r="F50" s="90">
        <f>IF(K50="trifft nicht zu","trifft nicht zu",'9. Weighting'!N37)</f>
        <v>1</v>
      </c>
      <c r="G50" s="91"/>
      <c r="H50" s="82">
        <f>IF(J50&lt;&gt;0,ROUND(SUM(I51:I52)/J50,1),"-")</f>
        <v>0</v>
      </c>
      <c r="I50" s="83">
        <f>IF(J50=0,0,H50*J50)</f>
        <v>0</v>
      </c>
      <c r="J50" s="83">
        <f>'9. Weighting'!N36</f>
        <v>51.282051282051277</v>
      </c>
      <c r="K50" s="64"/>
      <c r="L50" s="11">
        <f>VLOOKUP(O50,$C$81:$E$85,3,FALSE)</f>
        <v>1</v>
      </c>
      <c r="M50" s="11">
        <f>VLOOKUP(D50,$C$81:$E$85,3,FALSE)</f>
        <v>1</v>
      </c>
      <c r="N50" s="84" t="str">
        <f>IF(L50=M50,"",'12.lan'!$D$240&amp;VLOOKUP(L50,$C$81:$D$85,2,FALSE)&amp;" ("&amp;L50&amp;")")</f>
        <v/>
      </c>
      <c r="O50" s="11">
        <f>IF(K50="trifft nicht zu",C85,'9. Weighting'!N37)</f>
        <v>1</v>
      </c>
    </row>
    <row r="51" spans="1:15" ht="30" customHeight="1">
      <c r="A51" s="13"/>
      <c r="B51" s="557" t="str">
        <f>B50</f>
        <v>D2</v>
      </c>
      <c r="C51" s="85" t="str">
        <f>C50</f>
        <v>Kooperation und Solidarität mit Mitunternehmen</v>
      </c>
      <c r="D51" s="531"/>
      <c r="E51" s="97"/>
      <c r="F51" s="86" t="str">
        <f>'12.lan'!$D$329</f>
        <v>Skalenwert eingeben: Wert muss im Bereich von 0 bis 10 liegen.</v>
      </c>
      <c r="G51" s="87"/>
      <c r="H51" s="88">
        <v>0</v>
      </c>
      <c r="I51" s="89">
        <f>IFERROR(J51*H51/10,0)</f>
        <v>0</v>
      </c>
      <c r="J51" s="89">
        <f>J$50*K51/K51</f>
        <v>51.282051282051277</v>
      </c>
      <c r="K51" s="11">
        <v>1</v>
      </c>
      <c r="N51" s="84"/>
    </row>
    <row r="52" spans="1:15" ht="33.75" customHeight="1">
      <c r="A52" s="13"/>
      <c r="B52" s="558"/>
      <c r="C52" s="99" t="str">
        <f>'12.lan'!D166</f>
        <v>Negativ-Aspekt D2.3: Missbrauch der Marktmacht gegenüber Mitunternehmen</v>
      </c>
      <c r="D52" s="531"/>
      <c r="E52" s="97"/>
      <c r="F52" s="86" t="str">
        <f>'12.lan'!$D$330</f>
        <v>Negativpunkte eingeben: Werte müssen im Bereich von -200 bis 0 liegen.</v>
      </c>
      <c r="G52" s="102"/>
      <c r="H52" s="88">
        <v>0</v>
      </c>
      <c r="I52" s="89">
        <f>H52*J50/50</f>
        <v>0</v>
      </c>
      <c r="J52" s="89">
        <f>-200*J50/50</f>
        <v>-205.12820512820511</v>
      </c>
    </row>
    <row r="53" spans="1:15" ht="36" customHeight="1">
      <c r="A53" s="13"/>
      <c r="B53" s="77" t="s">
        <v>72</v>
      </c>
      <c r="C53" s="103" t="str">
        <f>'12.lan'!D167</f>
        <v>Ökologische Auswirkung durch Nutzung und Entsorgung von Produkten und Dienstleistungen</v>
      </c>
      <c r="D53" s="79">
        <f>IF(K53="trifft nicht zu",C85,'9. Weighting'!O37)</f>
        <v>1</v>
      </c>
      <c r="E53" s="94" t="str">
        <f>VLOOKUP(D53,$C$81:$D$85,2,FALSE)</f>
        <v>mittel</v>
      </c>
      <c r="F53" s="90">
        <f>IF(K53="trifft nicht zu","trifft nicht zu",'9. Weighting'!O37)</f>
        <v>1</v>
      </c>
      <c r="G53" s="104"/>
      <c r="H53" s="82">
        <f>IF(J53&lt;&gt;0,ROUND(SUM(I54:I55)/J53,1),"-")</f>
        <v>0</v>
      </c>
      <c r="I53" s="83">
        <f>IF(J53=0,0,H53*J53)</f>
        <v>0</v>
      </c>
      <c r="J53" s="83">
        <f>'9. Weighting'!O36</f>
        <v>51.282051282051277</v>
      </c>
      <c r="K53" s="64"/>
      <c r="L53" s="11">
        <f>VLOOKUP(O53,$C$81:$E$85,3,FALSE)</f>
        <v>1</v>
      </c>
      <c r="M53" s="11">
        <f>VLOOKUP(D53,$C$81:$E$85,3,FALSE)</f>
        <v>1</v>
      </c>
      <c r="N53" s="84" t="str">
        <f>IF(L53=M53,"",'12.lan'!$D$240&amp;VLOOKUP(L53,$C$81:$D$85,2,FALSE)&amp;" ("&amp;L53&amp;")")</f>
        <v/>
      </c>
      <c r="O53" s="11">
        <f>IF(K53="trifft nicht zu",C85,'9. Weighting'!O37)</f>
        <v>1</v>
      </c>
    </row>
    <row r="54" spans="1:15" ht="33.75" customHeight="1">
      <c r="A54" s="13"/>
      <c r="B54" s="557" t="s">
        <v>72</v>
      </c>
      <c r="C54" s="85" t="str">
        <f>C53</f>
        <v>Ökologische Auswirkung durch Nutzung und Entsorgung von Produkten und Dienstleistungen</v>
      </c>
      <c r="D54" s="531"/>
      <c r="E54" s="97"/>
      <c r="F54" s="86" t="str">
        <f>'12.lan'!$D$329</f>
        <v>Skalenwert eingeben: Wert muss im Bereich von 0 bis 10 liegen.</v>
      </c>
      <c r="G54" s="87"/>
      <c r="H54" s="88">
        <v>0</v>
      </c>
      <c r="I54" s="89">
        <f>IFERROR(J54*H54/10,0)</f>
        <v>0</v>
      </c>
      <c r="J54" s="89">
        <f>J53*K54/K54</f>
        <v>51.282051282051277</v>
      </c>
      <c r="K54" s="11">
        <v>1</v>
      </c>
      <c r="N54" s="84"/>
    </row>
    <row r="55" spans="1:15" ht="33" customHeight="1">
      <c r="A55" s="13"/>
      <c r="B55" s="558"/>
      <c r="C55" s="99" t="str">
        <f>'12.lan'!D170</f>
        <v>Negativ-Aspekt: Bewusste Inkaufnahme unverhältnismäßiger, ökologischer Auswirkungen</v>
      </c>
      <c r="D55" s="531"/>
      <c r="E55" s="97"/>
      <c r="F55" s="86" t="str">
        <f>'12.lan'!$D$330</f>
        <v>Negativpunkte eingeben: Werte müssen im Bereich von -200 bis 0 liegen.</v>
      </c>
      <c r="G55" s="87"/>
      <c r="H55" s="88">
        <v>0</v>
      </c>
      <c r="I55" s="89">
        <f>H55*J53/50</f>
        <v>0</v>
      </c>
      <c r="J55" s="89">
        <f>-200*J53/50</f>
        <v>-205.12820512820511</v>
      </c>
    </row>
    <row r="56" spans="1:15" ht="33" customHeight="1">
      <c r="A56" s="13"/>
      <c r="B56" s="77" t="s">
        <v>76</v>
      </c>
      <c r="C56" s="78" t="str">
        <f>'12.lan'!D171</f>
        <v>Kund*innen-Mitwirkung und Produkttransparenz</v>
      </c>
      <c r="D56" s="79">
        <f>IF(K56="trifft nicht zu",C85,'9. Weighting'!P37)</f>
        <v>1</v>
      </c>
      <c r="E56" s="94" t="str">
        <f>VLOOKUP(D56,$C$81:$D$85,2,FALSE)</f>
        <v>mittel</v>
      </c>
      <c r="F56" s="90">
        <f>IF(K56="trifft nicht zu","trifft nicht zu",'9. Weighting'!P37)</f>
        <v>1</v>
      </c>
      <c r="G56" s="91"/>
      <c r="H56" s="82">
        <f>IF(J56&lt;&gt;0,ROUND(SUM(I57:I58)/J56,1),"-")</f>
        <v>0</v>
      </c>
      <c r="I56" s="83">
        <f>IF(J56=0,0,H56*J56)</f>
        <v>0</v>
      </c>
      <c r="J56" s="83">
        <f>'9. Weighting'!P36</f>
        <v>51.282051282051277</v>
      </c>
      <c r="K56" s="64"/>
      <c r="L56" s="11">
        <f>VLOOKUP(O56,$C$81:$E$85,3,FALSE)</f>
        <v>1</v>
      </c>
      <c r="M56" s="11">
        <f>VLOOKUP(D56,$C$81:$E$85,3,FALSE)</f>
        <v>1</v>
      </c>
      <c r="N56" s="84" t="str">
        <f>IF(L56=M56,"",'12.lan'!$D$240&amp;VLOOKUP(L56,$C$81:$D$85,2,FALSE)&amp;" ("&amp;L56&amp;")")</f>
        <v/>
      </c>
      <c r="O56" s="11">
        <f>IF(K56="trifft nicht zu",C85,'9. Weighting'!P37)</f>
        <v>1</v>
      </c>
    </row>
    <row r="57" spans="1:15" ht="33.75" customHeight="1">
      <c r="A57" s="13"/>
      <c r="B57" s="557" t="str">
        <f>B56</f>
        <v>D4</v>
      </c>
      <c r="C57" s="85" t="str">
        <f>C56</f>
        <v>Kund*innen-Mitwirkung und Produkttransparenz</v>
      </c>
      <c r="D57" s="531"/>
      <c r="E57" s="97"/>
      <c r="F57" s="86" t="str">
        <f>'12.lan'!$D$329</f>
        <v>Skalenwert eingeben: Wert muss im Bereich von 0 bis 10 liegen.</v>
      </c>
      <c r="G57" s="87"/>
      <c r="H57" s="88">
        <v>0</v>
      </c>
      <c r="I57" s="89">
        <f>IFERROR(J57*H57/10,0)</f>
        <v>0</v>
      </c>
      <c r="J57" s="89">
        <f>J56*K57/K57</f>
        <v>51.282051282051277</v>
      </c>
      <c r="K57" s="11">
        <v>1</v>
      </c>
      <c r="N57" s="84"/>
    </row>
    <row r="58" spans="1:15" ht="30" customHeight="1">
      <c r="A58" s="13"/>
      <c r="B58" s="558"/>
      <c r="C58" s="99" t="str">
        <f>'12.lan'!D174</f>
        <v>Negativ-Aspekt: Kein Ausweis von Gefahrenstoffen</v>
      </c>
      <c r="D58" s="531"/>
      <c r="E58" s="97"/>
      <c r="F58" s="86" t="str">
        <f>'12.lan'!$D$330</f>
        <v>Negativpunkte eingeben: Werte müssen im Bereich von -200 bis 0 liegen.</v>
      </c>
      <c r="G58" s="87"/>
      <c r="H58" s="88">
        <v>0</v>
      </c>
      <c r="I58" s="89">
        <f>H58*J56/50</f>
        <v>0</v>
      </c>
      <c r="J58" s="89">
        <f>-200*J56/50</f>
        <v>-205.12820512820511</v>
      </c>
    </row>
    <row r="59" spans="1:15" ht="36" customHeight="1">
      <c r="A59" s="13"/>
      <c r="B59" s="73" t="s">
        <v>79</v>
      </c>
      <c r="C59" s="73" t="str">
        <f>'12.lan'!D175</f>
        <v>Gesellschaftliches Umfeld</v>
      </c>
      <c r="D59" s="92"/>
      <c r="E59" s="98"/>
      <c r="F59" s="93"/>
      <c r="G59" s="93"/>
      <c r="H59" s="74">
        <f>I59/J59</f>
        <v>0</v>
      </c>
      <c r="I59" s="75">
        <f>I60+I63+I67+I70</f>
        <v>0</v>
      </c>
      <c r="J59" s="75">
        <f>J60+J63+J67+J70</f>
        <v>205.12820512820511</v>
      </c>
    </row>
    <row r="60" spans="1:15" ht="36" customHeight="1">
      <c r="A60" s="13"/>
      <c r="B60" s="77" t="s">
        <v>80</v>
      </c>
      <c r="C60" s="103" t="str">
        <f>'12.lan'!D176</f>
        <v>Sinn und gesellschaftliche Wirkung der Produkte und Dienstleistungen</v>
      </c>
      <c r="D60" s="79">
        <f>IF(K60="trifft nicht zu",C85,'9. Weighting'!M43)</f>
        <v>1</v>
      </c>
      <c r="E60" s="94" t="str">
        <f>VLOOKUP(D60,$C$81:$D$85,2,FALSE)</f>
        <v>mittel</v>
      </c>
      <c r="F60" s="105">
        <f>IF(K60="trifft nicht zu","trifft nicht zu",'9. Weighting'!M43)</f>
        <v>1</v>
      </c>
      <c r="G60" s="106"/>
      <c r="H60" s="82">
        <f>IF(J60&lt;&gt;0,ROUND(SUM(I61:I62)/J60,1),"-")</f>
        <v>0</v>
      </c>
      <c r="I60" s="83">
        <f>IF(J60=0,0,H60*J60)</f>
        <v>0</v>
      </c>
      <c r="J60" s="83">
        <f>'9. Weighting'!M42</f>
        <v>51.282051282051277</v>
      </c>
      <c r="K60" s="64"/>
      <c r="L60" s="11">
        <f>VLOOKUP(O60,$C$81:$E$85,3,FALSE)</f>
        <v>1</v>
      </c>
      <c r="M60" s="11">
        <f>VLOOKUP(D60,$C$81:$E$85,3,FALSE)</f>
        <v>1</v>
      </c>
      <c r="N60" s="84" t="str">
        <f>IF(L60=M60,"",'12.lan'!$D$240&amp;VLOOKUP(L60,$C$81:$D$85,2,FALSE)&amp;" ("&amp;L60&amp;")")</f>
        <v/>
      </c>
      <c r="O60" s="11">
        <f>IF(K60="trifft nicht zu",C85,'9. Weighting'!M43)</f>
        <v>1</v>
      </c>
    </row>
    <row r="61" spans="1:15" ht="34.5" customHeight="1">
      <c r="A61" s="13"/>
      <c r="B61" s="557" t="str">
        <f>B60</f>
        <v>E1</v>
      </c>
      <c r="C61" s="85" t="str">
        <f>C60</f>
        <v>Sinn und gesellschaftliche Wirkung der Produkte und Dienstleistungen</v>
      </c>
      <c r="D61" s="531"/>
      <c r="E61" s="97"/>
      <c r="F61" s="86" t="str">
        <f>'12.lan'!$D$329</f>
        <v>Skalenwert eingeben: Wert muss im Bereich von 0 bis 10 liegen.</v>
      </c>
      <c r="G61" s="87"/>
      <c r="H61" s="88">
        <v>0</v>
      </c>
      <c r="I61" s="89">
        <f>IFERROR(J61*H61/10,0)</f>
        <v>0</v>
      </c>
      <c r="J61" s="89">
        <f>J60*K61/K61</f>
        <v>51.282051282051277</v>
      </c>
      <c r="K61" s="11">
        <v>1</v>
      </c>
      <c r="N61" s="84"/>
    </row>
    <row r="62" spans="1:15" ht="30" customHeight="1">
      <c r="A62" s="13"/>
      <c r="B62" s="558"/>
      <c r="C62" s="99" t="str">
        <f>'12.lan'!D179</f>
        <v>Negativ-Aspekt: Menschenunwürdige Produkte und Dienstleistungen</v>
      </c>
      <c r="D62" s="531"/>
      <c r="E62" s="97"/>
      <c r="F62" s="86" t="str">
        <f>'12.lan'!$D$330</f>
        <v>Negativpunkte eingeben: Werte müssen im Bereich von -200 bis 0 liegen.</v>
      </c>
      <c r="G62" s="87"/>
      <c r="H62" s="88">
        <v>0</v>
      </c>
      <c r="I62" s="89">
        <f>H62*J60/50</f>
        <v>0</v>
      </c>
      <c r="J62" s="89">
        <f>-200*J60/50</f>
        <v>-205.12820512820511</v>
      </c>
    </row>
    <row r="63" spans="1:15" ht="33" customHeight="1">
      <c r="A63" s="13"/>
      <c r="B63" s="77" t="s">
        <v>84</v>
      </c>
      <c r="C63" s="103" t="str">
        <f>'12.lan'!D180</f>
        <v>Beitrag zum Gemeinwesen</v>
      </c>
      <c r="D63" s="79">
        <f>IF(K63="trifft nicht zu",C85,'9. Weighting'!N43)</f>
        <v>1</v>
      </c>
      <c r="E63" s="94" t="str">
        <f>VLOOKUP(D63,$C$81:$D$85,2,FALSE)</f>
        <v>mittel</v>
      </c>
      <c r="F63" s="105">
        <f>IF(K63="trifft nicht zu","trifft nicht zu",'9. Weighting'!N43)</f>
        <v>1</v>
      </c>
      <c r="G63" s="106"/>
      <c r="H63" s="82">
        <f>IF(J63&lt;&gt;0,ROUND(SUM(I64:I66)/J63,1),"-")</f>
        <v>0</v>
      </c>
      <c r="I63" s="83">
        <f>IF(J63=0,0,H63*J63)</f>
        <v>0</v>
      </c>
      <c r="J63" s="83">
        <f>'9. Weighting'!N42</f>
        <v>51.282051282051277</v>
      </c>
      <c r="K63" s="64"/>
      <c r="L63" s="11">
        <f>VLOOKUP(O63,$C$81:$E$85,3,FALSE)</f>
        <v>1</v>
      </c>
      <c r="M63" s="11">
        <f>VLOOKUP(D63,$C$81:$E$85,3,FALSE)</f>
        <v>1</v>
      </c>
      <c r="N63" s="84" t="str">
        <f>IF(L63=M63,"",'12.lan'!$D$240&amp;VLOOKUP(L63,$C$81:$D$85,2,FALSE)&amp;" ("&amp;L63&amp;")")</f>
        <v/>
      </c>
      <c r="O63" s="11">
        <f>IF(K63="trifft nicht zu",C85,'9. Weighting'!N43)</f>
        <v>1</v>
      </c>
    </row>
    <row r="64" spans="1:15" ht="30" customHeight="1">
      <c r="A64" s="13"/>
      <c r="B64" s="559" t="str">
        <f>B63</f>
        <v>E2</v>
      </c>
      <c r="C64" s="96" t="str">
        <f>C63</f>
        <v>Beitrag zum Gemeinwesen</v>
      </c>
      <c r="D64" s="531"/>
      <c r="E64" s="97"/>
      <c r="F64" s="86" t="str">
        <f>'12.lan'!$D$329</f>
        <v>Skalenwert eingeben: Wert muss im Bereich von 0 bis 10 liegen.</v>
      </c>
      <c r="G64" s="87"/>
      <c r="H64" s="88">
        <v>0</v>
      </c>
      <c r="I64" s="89">
        <f>IFERROR(J64*H64/10,0)</f>
        <v>0</v>
      </c>
      <c r="J64" s="89">
        <f>J63*K64/K64</f>
        <v>51.282051282051277</v>
      </c>
      <c r="K64" s="11">
        <v>1</v>
      </c>
      <c r="N64" s="84"/>
    </row>
    <row r="65" spans="1:15" ht="30" customHeight="1">
      <c r="A65" s="13"/>
      <c r="B65" s="560"/>
      <c r="C65" s="100" t="str">
        <f>'12.lan'!D183</f>
        <v>Negativ-Aspekt: Illegitime Steuervermeidung</v>
      </c>
      <c r="D65" s="531"/>
      <c r="E65" s="97"/>
      <c r="F65" s="86" t="str">
        <f>'12.lan'!$D$330</f>
        <v>Negativpunkte eingeben: Werte müssen im Bereich von -200 bis 0 liegen.</v>
      </c>
      <c r="G65" s="87"/>
      <c r="H65" s="88">
        <v>0</v>
      </c>
      <c r="I65" s="89">
        <f>H65*J63/50</f>
        <v>0</v>
      </c>
      <c r="J65" s="89">
        <f>-200*J63/50</f>
        <v>-205.12820512820511</v>
      </c>
    </row>
    <row r="66" spans="1:15" ht="30" customHeight="1">
      <c r="A66" s="13"/>
      <c r="B66" s="561"/>
      <c r="C66" s="100" t="str">
        <f>'12.lan'!D184</f>
        <v>Negativ-Aspekt: Mangelnde Korruptionsprävention</v>
      </c>
      <c r="D66" s="531"/>
      <c r="E66" s="97"/>
      <c r="F66" s="86" t="str">
        <f>'12.lan'!$D$330</f>
        <v>Negativpunkte eingeben: Werte müssen im Bereich von -200 bis 0 liegen.</v>
      </c>
      <c r="G66" s="87"/>
      <c r="H66" s="88">
        <v>0</v>
      </c>
      <c r="I66" s="89">
        <f>H66*J63/50</f>
        <v>0</v>
      </c>
      <c r="J66" s="89">
        <f>-200*J63/50</f>
        <v>-205.12820512820511</v>
      </c>
    </row>
    <row r="67" spans="1:15" ht="33" customHeight="1">
      <c r="A67" s="13"/>
      <c r="B67" s="77" t="s">
        <v>89</v>
      </c>
      <c r="C67" s="78" t="str">
        <f>'12.lan'!D185</f>
        <v>Reduktion ökologischer Auswirkungen</v>
      </c>
      <c r="D67" s="79">
        <f>IF(K67="trifft nicht zu",C85,'9. Weighting'!O43)</f>
        <v>1</v>
      </c>
      <c r="E67" s="94" t="str">
        <f>VLOOKUP(D67,$C$81:$D$85,2,FALSE)</f>
        <v>mittel</v>
      </c>
      <c r="F67" s="91"/>
      <c r="G67" s="91"/>
      <c r="H67" s="82">
        <f>IF(J67&lt;&gt;0,ROUND(SUM(I68:I69)/J67,1),"-")</f>
        <v>0</v>
      </c>
      <c r="I67" s="83">
        <f>IF(J67=0,0,H67*J67)</f>
        <v>0</v>
      </c>
      <c r="J67" s="83">
        <f>'9. Weighting'!O42</f>
        <v>51.282051282051277</v>
      </c>
      <c r="K67" s="64"/>
      <c r="L67" s="11">
        <f>VLOOKUP(O67,$C$81:$E$85,3,FALSE)</f>
        <v>1</v>
      </c>
      <c r="M67" s="11">
        <f>VLOOKUP(D67,$C$81:$E$85,3,FALSE)</f>
        <v>1</v>
      </c>
      <c r="N67" s="84" t="str">
        <f>IF(L67=M67,"",'12.lan'!$D$240&amp;VLOOKUP(L67,$C$81:$D$85,2,FALSE)&amp;" ("&amp;L67&amp;")")</f>
        <v/>
      </c>
      <c r="O67" s="11">
        <f>IF(K67="trifft nicht zu",C85,'9. Weighting'!O43)</f>
        <v>1</v>
      </c>
    </row>
    <row r="68" spans="1:15" ht="30" customHeight="1">
      <c r="A68" s="13"/>
      <c r="B68" s="559" t="str">
        <f>B67</f>
        <v>E3</v>
      </c>
      <c r="C68" s="85" t="str">
        <f>C67</f>
        <v>Reduktion ökologischer Auswirkungen</v>
      </c>
      <c r="D68" s="531"/>
      <c r="E68" s="97"/>
      <c r="F68" s="86" t="str">
        <f>'12.lan'!$D$329</f>
        <v>Skalenwert eingeben: Wert muss im Bereich von 0 bis 10 liegen.</v>
      </c>
      <c r="G68" s="87"/>
      <c r="H68" s="88">
        <v>0</v>
      </c>
      <c r="I68" s="89">
        <f>IFERROR(J68*H68/10,0)</f>
        <v>0</v>
      </c>
      <c r="J68" s="89">
        <f>J67*K68/K68</f>
        <v>51.282051282051277</v>
      </c>
      <c r="K68" s="11">
        <v>1</v>
      </c>
      <c r="N68" s="84"/>
    </row>
    <row r="69" spans="1:15" ht="33" customHeight="1">
      <c r="A69" s="13"/>
      <c r="B69" s="561"/>
      <c r="C69" s="99" t="str">
        <f>'12.lan'!D188</f>
        <v>Negativ-Aspekt: Verstöße gegen Umweltauflagen sowie unangemessene Umweltbelastungen</v>
      </c>
      <c r="D69" s="531"/>
      <c r="E69" s="97"/>
      <c r="F69" s="86" t="str">
        <f>'12.lan'!$D$330</f>
        <v>Negativpunkte eingeben: Werte müssen im Bereich von -200 bis 0 liegen.</v>
      </c>
      <c r="G69" s="87"/>
      <c r="H69" s="88">
        <v>0</v>
      </c>
      <c r="I69" s="89">
        <f>H69*J67/50</f>
        <v>0</v>
      </c>
      <c r="J69" s="89">
        <f>-200*J67/50</f>
        <v>-205.12820512820511</v>
      </c>
    </row>
    <row r="70" spans="1:15" ht="33" customHeight="1">
      <c r="A70" s="13"/>
      <c r="B70" s="77" t="s">
        <v>93</v>
      </c>
      <c r="C70" s="78" t="str">
        <f>'12.lan'!D189</f>
        <v>Transparenz und gesellschaftliche Mitentscheidung</v>
      </c>
      <c r="D70" s="79">
        <f>IF(K70="trifft nicht zu",C85,'9. Weighting'!P43)</f>
        <v>1</v>
      </c>
      <c r="E70" s="94" t="str">
        <f>VLOOKUP(D70,$C$81:$D$85,2,FALSE)</f>
        <v>mittel</v>
      </c>
      <c r="F70" s="91"/>
      <c r="G70" s="91"/>
      <c r="H70" s="82">
        <f>IF(J70&lt;&gt;0,ROUND(SUM(I71:I72)/J70,1),"-")</f>
        <v>0</v>
      </c>
      <c r="I70" s="83">
        <f>IF(J70=0,0,H70*J70)</f>
        <v>0</v>
      </c>
      <c r="J70" s="83">
        <f>'9. Weighting'!P42</f>
        <v>51.282051282051277</v>
      </c>
      <c r="K70" s="64"/>
      <c r="L70" s="11">
        <f>VLOOKUP(O70,$C$81:$E$85,3,FALSE)</f>
        <v>1</v>
      </c>
      <c r="M70" s="11">
        <f>VLOOKUP(D70,$C$81:$E$85,3,FALSE)</f>
        <v>1</v>
      </c>
      <c r="N70" s="84" t="str">
        <f>IF(L70=M70,"",'12.lan'!$D$240&amp;VLOOKUP(L70,$C$81:$D$85,2,FALSE)&amp;" ("&amp;L70&amp;")")</f>
        <v/>
      </c>
      <c r="O70" s="11">
        <f>IF(K70="trifft nicht zu",C85,'9. Weighting'!P43)</f>
        <v>1</v>
      </c>
    </row>
    <row r="71" spans="1:15" ht="30" customHeight="1">
      <c r="A71" s="13"/>
      <c r="B71" s="559" t="str">
        <f>B70</f>
        <v>E4</v>
      </c>
      <c r="C71" s="85" t="str">
        <f>C70</f>
        <v>Transparenz und gesellschaftliche Mitentscheidung</v>
      </c>
      <c r="D71" s="531"/>
      <c r="E71" s="97"/>
      <c r="F71" s="86" t="str">
        <f>'12.lan'!$D$329</f>
        <v>Skalenwert eingeben: Wert muss im Bereich von 0 bis 10 liegen.</v>
      </c>
      <c r="G71" s="87"/>
      <c r="H71" s="88">
        <v>0</v>
      </c>
      <c r="I71" s="89">
        <f>IFERROR(J71*H71/10,0)</f>
        <v>0</v>
      </c>
      <c r="J71" s="89">
        <f>J70*K71/K71</f>
        <v>51.282051282051277</v>
      </c>
      <c r="K71" s="11">
        <v>1</v>
      </c>
      <c r="N71" s="84"/>
    </row>
    <row r="72" spans="1:15" ht="33.75" customHeight="1">
      <c r="A72" s="13"/>
      <c r="B72" s="562"/>
      <c r="C72" s="85" t="str">
        <f>'12.lan'!D192</f>
        <v>Negativ-Aspekt: Förderung von Intransparenz und bewusste Fehlinformation</v>
      </c>
      <c r="D72" s="531"/>
      <c r="E72" s="97"/>
      <c r="F72" s="86" t="str">
        <f>'12.lan'!$D$330</f>
        <v>Negativpunkte eingeben: Werte müssen im Bereich von -200 bis 0 liegen.</v>
      </c>
      <c r="G72" s="87"/>
      <c r="H72" s="88">
        <v>0</v>
      </c>
      <c r="I72" s="89">
        <f>H72*J70/50</f>
        <v>0</v>
      </c>
      <c r="J72" s="89">
        <f>-200*J70/50</f>
        <v>-205.12820512820511</v>
      </c>
    </row>
    <row r="73" spans="1:15" ht="12.75" customHeight="1">
      <c r="A73" s="13"/>
      <c r="B73" s="14"/>
      <c r="C73" s="22"/>
      <c r="D73" s="56"/>
      <c r="E73" s="56"/>
      <c r="F73" s="14"/>
      <c r="G73" s="14"/>
      <c r="H73" s="56"/>
      <c r="I73" s="57"/>
      <c r="J73" s="58"/>
    </row>
    <row r="74" spans="1:15" ht="18.75" customHeight="1">
      <c r="A74" s="13"/>
      <c r="B74" s="574" t="str">
        <f>'12.lan'!D92</f>
        <v>BILANZSUMME:</v>
      </c>
      <c r="C74" s="574"/>
      <c r="D74" s="574"/>
      <c r="E74" s="574"/>
      <c r="F74" s="574"/>
      <c r="G74" s="574"/>
      <c r="H74" s="575">
        <f>H4</f>
        <v>0</v>
      </c>
      <c r="I74" s="576">
        <f>I4</f>
        <v>0</v>
      </c>
      <c r="J74" s="576">
        <f>J4</f>
        <v>1000</v>
      </c>
    </row>
    <row r="75" spans="1:15" ht="18" customHeight="1">
      <c r="A75" s="13"/>
      <c r="B75" s="574"/>
      <c r="C75" s="574"/>
      <c r="D75" s="574"/>
      <c r="E75" s="574"/>
      <c r="F75" s="574"/>
      <c r="G75" s="574"/>
      <c r="H75" s="575"/>
      <c r="I75" s="576"/>
      <c r="J75" s="576"/>
    </row>
    <row r="81" spans="2:5" ht="12.75" hidden="1" customHeight="1">
      <c r="B81" s="51">
        <v>2</v>
      </c>
      <c r="C81" s="52">
        <v>2</v>
      </c>
      <c r="D81" s="53" t="str">
        <f>'12.lan'!D97</f>
        <v>sehr hoch</v>
      </c>
      <c r="E81" s="54">
        <v>2</v>
      </c>
    </row>
    <row r="82" spans="2:5" ht="12.75" hidden="1" customHeight="1">
      <c r="B82" s="51">
        <v>1.5</v>
      </c>
      <c r="C82" s="52">
        <v>1.5</v>
      </c>
      <c r="D82" s="53" t="str">
        <f>'12.lan'!D98</f>
        <v>hoch</v>
      </c>
      <c r="E82" s="107">
        <v>1.5</v>
      </c>
    </row>
    <row r="83" spans="2:5" ht="12.75" hidden="1" customHeight="1">
      <c r="B83" s="51">
        <v>1</v>
      </c>
      <c r="C83" s="52">
        <v>1</v>
      </c>
      <c r="D83" s="53" t="str">
        <f>'12.lan'!D99</f>
        <v>mittel</v>
      </c>
      <c r="E83" s="54">
        <v>1</v>
      </c>
    </row>
    <row r="84" spans="2:5" ht="12.75" hidden="1" customHeight="1">
      <c r="B84" s="51">
        <v>0.5</v>
      </c>
      <c r="C84" s="52">
        <v>0.5</v>
      </c>
      <c r="D84" s="53" t="str">
        <f>'12.lan'!D100</f>
        <v>niedrig</v>
      </c>
      <c r="E84" s="107">
        <v>0.5</v>
      </c>
    </row>
    <row r="85" spans="2:5" ht="12.75" hidden="1" customHeight="1">
      <c r="B85" s="51">
        <v>0</v>
      </c>
      <c r="C85" s="52">
        <v>0</v>
      </c>
      <c r="D85" s="53" t="str">
        <f>'12.lan'!D101</f>
        <v>trifft nicht zu</v>
      </c>
      <c r="E85" s="54">
        <v>0</v>
      </c>
    </row>
    <row r="86" spans="2:5" ht="12.75" hidden="1" customHeight="1"/>
  </sheetData>
  <sheetProtection algorithmName="SHA-512" hashValue="Jweo3/l1aPhIOkhS3oEuVGTZqMy/cPjI65NoBAVxnMXnh6FZtzX8DfDvK/N39wa+ippqurciXYoprd9TramJDA==" saltValue="Sep9pM+NilJDSj+U2ghDyw==" spinCount="100000" sheet="1" selectLockedCells="1"/>
  <mergeCells count="33">
    <mergeCell ref="B7:J7"/>
    <mergeCell ref="D8:E8"/>
    <mergeCell ref="C9:G9"/>
    <mergeCell ref="B74:G75"/>
    <mergeCell ref="H74:H75"/>
    <mergeCell ref="I74:I75"/>
    <mergeCell ref="J74:J75"/>
    <mergeCell ref="B11:B12"/>
    <mergeCell ref="B14:B15"/>
    <mergeCell ref="B17:B18"/>
    <mergeCell ref="B25:B26"/>
    <mergeCell ref="B28:B29"/>
    <mergeCell ref="B31:B32"/>
    <mergeCell ref="B35:B36"/>
    <mergeCell ref="B38:B39"/>
    <mergeCell ref="B41:B42"/>
    <mergeCell ref="B2:C2"/>
    <mergeCell ref="H2:J3"/>
    <mergeCell ref="B3:D4"/>
    <mergeCell ref="F4:F5"/>
    <mergeCell ref="H4:H5"/>
    <mergeCell ref="I4:I5"/>
    <mergeCell ref="J4:J5"/>
    <mergeCell ref="B5:D5"/>
    <mergeCell ref="B61:B62"/>
    <mergeCell ref="B64:B66"/>
    <mergeCell ref="B68:B69"/>
    <mergeCell ref="B71:B72"/>
    <mergeCell ref="B44:B45"/>
    <mergeCell ref="B48:B49"/>
    <mergeCell ref="B51:B52"/>
    <mergeCell ref="B54:B55"/>
    <mergeCell ref="B57:B58"/>
  </mergeCells>
  <conditionalFormatting sqref="H4:H5">
    <cfRule type="cellIs" dxfId="14" priority="8" operator="lessThan">
      <formula>0</formula>
    </cfRule>
  </conditionalFormatting>
  <conditionalFormatting sqref="H9">
    <cfRule type="cellIs" dxfId="13" priority="7" operator="lessThan">
      <formula>0</formula>
    </cfRule>
  </conditionalFormatting>
  <conditionalFormatting sqref="H10">
    <cfRule type="cellIs" dxfId="12" priority="6" operator="lessThan">
      <formula>0</formula>
    </cfRule>
  </conditionalFormatting>
  <conditionalFormatting sqref="H13">
    <cfRule type="cellIs" dxfId="11" priority="5" operator="lessThan">
      <formula>0</formula>
    </cfRule>
  </conditionalFormatting>
  <conditionalFormatting sqref="H16">
    <cfRule type="cellIs" dxfId="10" priority="4" operator="lessThan">
      <formula>0</formula>
    </cfRule>
  </conditionalFormatting>
  <conditionalFormatting sqref="H19">
    <cfRule type="cellIs" dxfId="9" priority="3" operator="lessThan">
      <formula>0</formula>
    </cfRule>
  </conditionalFormatting>
  <conditionalFormatting sqref="H21:H22 H24 H27 H30 H33:H34 H37 H40 H43 H46:H47 H50 H53 H56 H59:H60 H63 H67 H70">
    <cfRule type="cellIs" dxfId="8" priority="2" operator="lessThan">
      <formula>0</formula>
    </cfRule>
  </conditionalFormatting>
  <conditionalFormatting sqref="H74:H75">
    <cfRule type="cellIs" dxfId="7" priority="1" operator="lessThan">
      <formula>0</formula>
    </cfRule>
  </conditionalFormatting>
  <dataValidations count="4">
    <dataValidation type="list" operator="equal" allowBlank="1" showInputMessage="1" showErrorMessage="1" promptTitle="Gewichtung" sqref="D10 D27 D16 D24 D34 D30 D37 D40 D43 D47 D50 D53 D56 D60 D63 D67 D70 D13 D22 D19" xr:uid="{00000000-0002-0000-0300-000000000000}">
      <formula1>$C$81:$C$85</formula1>
      <formula2>0</formula2>
    </dataValidation>
    <dataValidation operator="equal" allowBlank="1" showInputMessage="1" showErrorMessage="1" promptTitle="Gewichtung" sqref="D18 D15 D32 D26:E26 D29 E60:E72 D36 D39 D42 D45 D49 D52 D55 D58 D62 D65:D66 D69 D72 E10:E20 E22:E24 E27:E32 E34:E45 E47:E58 D12" xr:uid="{00000000-0002-0000-0300-000001000000}">
      <formula1>0</formula1>
      <formula2>0</formula2>
    </dataValidation>
    <dataValidation type="decimal" allowBlank="1" showInputMessage="1" showErrorMessage="1" errorTitle="Value" error="Value has to be between 0 and 10." sqref="H11 H14 H17 H20 H23 H25 H28 H31 H35 H38 H41 H44 H48 H51 H54 H57 H61 H64 H68 H71" xr:uid="{A10DBD49-256E-45CA-B7CC-5D3E16AA09C5}">
      <formula1>0</formula1>
      <formula2>10</formula2>
    </dataValidation>
    <dataValidation type="decimal" allowBlank="1" showErrorMessage="1" errorTitle="Value" error="Value has to be between 0 and -200." sqref="H12 H15 H18 H26 H29 H32 H36 H39 H42 H45 H49 H52 H55 H58 H62 H65 H66 H69 H72" xr:uid="{B7BBDDBB-12E4-4FAC-92C1-C2FA20EB5D2F}">
      <formula1>-200</formula1>
      <formula2>0</formula2>
    </dataValidation>
  </dataValidations>
  <pageMargins left="0.43333333333333335" right="0.47222222222222221" top="0.39374999999999999" bottom="0.39374999999999999" header="0.51180555555555551" footer="0.51180555555555551"/>
  <pageSetup paperSize="9" firstPageNumber="0" fitToHeight="1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dimension ref="A1:Y163"/>
  <sheetViews>
    <sheetView zoomScale="75" zoomScaleNormal="75" workbookViewId="0">
      <pane xSplit="2" ySplit="9" topLeftCell="C31" activePane="bottomRight" state="frozen"/>
      <selection pane="topRight" activeCell="C1" sqref="C1"/>
      <selection pane="bottomLeft" activeCell="A30" sqref="A30"/>
      <selection pane="bottomRight" activeCell="S43" sqref="S43"/>
    </sheetView>
  </sheetViews>
  <sheetFormatPr baseColWidth="10" defaultColWidth="10.28515625" defaultRowHeight="12" customHeight="1"/>
  <cols>
    <col min="1" max="2" width="1.28515625" style="108" customWidth="1"/>
    <col min="3" max="4" width="2.28515625" style="108" customWidth="1"/>
    <col min="5" max="5" width="8.28515625" style="108" customWidth="1"/>
    <col min="6" max="6" width="40.85546875" style="108" customWidth="1"/>
    <col min="7" max="7" width="27.28515625" style="108" customWidth="1"/>
    <col min="8" max="8" width="17.28515625" style="108" customWidth="1"/>
    <col min="9" max="9" width="12.28515625" style="108" customWidth="1"/>
    <col min="10" max="10" width="36.28515625" style="108" customWidth="1"/>
    <col min="11" max="11" width="12.7109375" style="108" customWidth="1"/>
    <col min="12" max="12" width="3.28515625" style="108" customWidth="1"/>
    <col min="13" max="15" width="13.28515625" style="109" customWidth="1"/>
    <col min="16" max="16" width="14.28515625" style="109" customWidth="1"/>
    <col min="17" max="17" width="1.28515625" style="108" customWidth="1"/>
    <col min="18" max="18" width="10.28515625" style="108" customWidth="1"/>
    <col min="19" max="25" width="10.28515625" style="110" customWidth="1"/>
    <col min="26" max="16384" width="10.28515625" style="108"/>
  </cols>
  <sheetData>
    <row r="1" spans="1:18" ht="6.75" customHeight="1">
      <c r="A1" s="110"/>
      <c r="B1" s="110"/>
      <c r="C1" s="110"/>
      <c r="D1" s="110"/>
      <c r="E1" s="110"/>
      <c r="F1" s="110"/>
      <c r="G1" s="110"/>
      <c r="H1" s="110"/>
      <c r="I1" s="110"/>
      <c r="J1" s="110"/>
      <c r="K1" s="110"/>
      <c r="L1" s="110"/>
      <c r="M1" s="111"/>
      <c r="N1" s="111"/>
      <c r="O1" s="111"/>
      <c r="P1" s="111"/>
      <c r="Q1" s="110"/>
      <c r="R1" s="110"/>
    </row>
    <row r="2" spans="1:18" ht="7.5" customHeight="1">
      <c r="A2" s="110"/>
      <c r="B2" s="112"/>
      <c r="C2" s="112"/>
      <c r="D2" s="112"/>
      <c r="E2" s="112"/>
      <c r="F2" s="110"/>
      <c r="G2" s="110"/>
      <c r="H2" s="110"/>
      <c r="I2" s="110"/>
      <c r="J2" s="110"/>
      <c r="K2" s="110"/>
      <c r="L2" s="110"/>
      <c r="M2" s="111"/>
      <c r="N2" s="111"/>
      <c r="O2" s="111"/>
      <c r="P2" s="111"/>
      <c r="Q2" s="110"/>
      <c r="R2" s="110"/>
    </row>
    <row r="3" spans="1:18" ht="6.75" customHeight="1">
      <c r="A3" s="110"/>
      <c r="B3" s="113"/>
      <c r="C3" s="114"/>
      <c r="D3" s="115"/>
      <c r="E3" s="115"/>
      <c r="F3" s="115"/>
      <c r="G3" s="115"/>
      <c r="H3" s="115"/>
      <c r="I3" s="115"/>
      <c r="J3" s="115"/>
      <c r="K3" s="115"/>
      <c r="L3" s="115"/>
      <c r="M3" s="116"/>
      <c r="N3" s="116"/>
      <c r="O3" s="116"/>
      <c r="P3" s="116"/>
      <c r="Q3" s="117"/>
      <c r="R3" s="110"/>
    </row>
    <row r="4" spans="1:18" ht="42" customHeight="1">
      <c r="A4" s="110"/>
      <c r="B4" s="118"/>
      <c r="C4" s="119"/>
      <c r="D4" s="120"/>
      <c r="E4" s="581" t="s">
        <v>97</v>
      </c>
      <c r="F4" s="581"/>
      <c r="G4" s="581"/>
      <c r="H4" s="581"/>
      <c r="I4" s="581"/>
      <c r="J4" s="581"/>
      <c r="K4" s="582" t="s">
        <v>98</v>
      </c>
      <c r="L4" s="582"/>
      <c r="M4" s="577" t="s">
        <v>99</v>
      </c>
      <c r="N4" s="577" t="s">
        <v>100</v>
      </c>
      <c r="O4" s="577" t="s">
        <v>101</v>
      </c>
      <c r="P4" s="577" t="s">
        <v>102</v>
      </c>
      <c r="Q4" s="121"/>
      <c r="R4" s="110"/>
    </row>
    <row r="5" spans="1:18" ht="24.75" customHeight="1">
      <c r="A5" s="110"/>
      <c r="B5" s="122" t="s">
        <v>103</v>
      </c>
      <c r="C5" s="123"/>
      <c r="D5" s="122"/>
      <c r="E5" s="581"/>
      <c r="F5" s="581"/>
      <c r="G5" s="581"/>
      <c r="H5" s="581"/>
      <c r="I5" s="581"/>
      <c r="J5" s="581"/>
      <c r="K5" s="582"/>
      <c r="L5" s="582"/>
      <c r="M5" s="577"/>
      <c r="N5" s="577"/>
      <c r="O5" s="577"/>
      <c r="P5" s="577"/>
      <c r="Q5" s="121"/>
      <c r="R5" s="110"/>
    </row>
    <row r="6" spans="1:18" ht="12.75" customHeight="1">
      <c r="A6" s="110"/>
      <c r="B6" s="122" t="s">
        <v>104</v>
      </c>
      <c r="C6" s="123"/>
      <c r="D6" s="122"/>
      <c r="E6" s="581"/>
      <c r="F6" s="581"/>
      <c r="G6" s="581"/>
      <c r="H6" s="581"/>
      <c r="I6" s="581"/>
      <c r="J6" s="581"/>
      <c r="K6" s="582"/>
      <c r="L6" s="582"/>
      <c r="M6" s="577"/>
      <c r="N6" s="577"/>
      <c r="O6" s="577"/>
      <c r="P6" s="577"/>
      <c r="Q6" s="121"/>
      <c r="R6" s="110"/>
    </row>
    <row r="7" spans="1:18" ht="41.25" customHeight="1">
      <c r="A7" s="110"/>
      <c r="B7" s="122"/>
      <c r="C7" s="123"/>
      <c r="D7" s="122"/>
      <c r="E7" s="124"/>
      <c r="F7" s="578"/>
      <c r="G7" s="578"/>
      <c r="H7" s="579" t="s">
        <v>105</v>
      </c>
      <c r="I7" s="579"/>
      <c r="J7" s="125" t="s">
        <v>106</v>
      </c>
      <c r="K7" s="582"/>
      <c r="L7" s="582"/>
      <c r="M7" s="577"/>
      <c r="N7" s="577"/>
      <c r="O7" s="577"/>
      <c r="P7" s="577"/>
      <c r="Q7" s="121"/>
      <c r="R7" s="110"/>
    </row>
    <row r="8" spans="1:18" ht="57" customHeight="1">
      <c r="A8" s="110"/>
      <c r="B8" s="126"/>
      <c r="C8" s="127"/>
      <c r="D8" s="126"/>
      <c r="E8" s="128"/>
      <c r="F8" s="580" t="s">
        <v>107</v>
      </c>
      <c r="G8" s="580"/>
      <c r="H8" s="580"/>
      <c r="I8" s="580"/>
      <c r="J8" s="580"/>
      <c r="K8" s="129"/>
      <c r="L8" s="129"/>
      <c r="M8" s="577"/>
      <c r="N8" s="577"/>
      <c r="O8" s="577"/>
      <c r="P8" s="577"/>
      <c r="Q8" s="121"/>
      <c r="R8" s="110"/>
    </row>
    <row r="9" spans="1:18" ht="15" customHeight="1">
      <c r="A9" s="110"/>
      <c r="B9" s="126"/>
      <c r="C9" s="127"/>
      <c r="D9" s="126"/>
      <c r="E9" s="128"/>
      <c r="F9" s="444"/>
      <c r="G9" s="444"/>
      <c r="H9" s="444"/>
      <c r="I9" s="444"/>
      <c r="J9" s="444"/>
      <c r="K9" s="129"/>
      <c r="L9" s="129"/>
      <c r="M9" s="130">
        <f>M15+M23+M29+M36+M42</f>
        <v>256.41025641025641</v>
      </c>
      <c r="N9" s="130">
        <f>N15+N23+N29+N36+N42</f>
        <v>256.41025641025641</v>
      </c>
      <c r="O9" s="130">
        <f>O15+O23+O29+O36+O42</f>
        <v>256.41025641025641</v>
      </c>
      <c r="P9" s="130">
        <f>P15+P23+P29+P36+P42</f>
        <v>230.76923076923075</v>
      </c>
      <c r="Q9" s="121"/>
      <c r="R9" s="110"/>
    </row>
    <row r="10" spans="1:18" ht="21" customHeight="1">
      <c r="A10" s="110"/>
      <c r="B10" s="583"/>
      <c r="C10" s="131"/>
      <c r="D10" s="132"/>
      <c r="E10" s="133"/>
      <c r="F10" s="584" t="s">
        <v>108</v>
      </c>
      <c r="G10" s="584"/>
      <c r="H10" s="584"/>
      <c r="I10" s="134">
        <f>'2. Company Facts'!C7</f>
        <v>0</v>
      </c>
      <c r="J10" s="585" t="s">
        <v>109</v>
      </c>
      <c r="K10" s="586" t="str">
        <f>K49</f>
        <v>1</v>
      </c>
      <c r="L10" s="587">
        <f>M15+N15+O15+P15</f>
        <v>179.48717948717947</v>
      </c>
      <c r="M10" s="588" t="s">
        <v>14</v>
      </c>
      <c r="N10" s="589" t="s">
        <v>17</v>
      </c>
      <c r="O10" s="589" t="s">
        <v>21</v>
      </c>
      <c r="P10" s="590" t="s">
        <v>24</v>
      </c>
      <c r="Q10" s="135"/>
      <c r="R10" s="110"/>
    </row>
    <row r="11" spans="1:18" ht="13.5" customHeight="1">
      <c r="A11" s="110"/>
      <c r="B11" s="583"/>
      <c r="C11" s="136"/>
      <c r="D11" s="137"/>
      <c r="E11" s="138"/>
      <c r="F11" s="591"/>
      <c r="G11" s="591"/>
      <c r="H11" s="591"/>
      <c r="I11" s="591"/>
      <c r="J11" s="585"/>
      <c r="K11" s="586"/>
      <c r="L11" s="586"/>
      <c r="M11" s="588"/>
      <c r="N11" s="589"/>
      <c r="O11" s="589"/>
      <c r="P11" s="590"/>
      <c r="Q11" s="121"/>
      <c r="R11" s="110"/>
    </row>
    <row r="12" spans="1:18" ht="21.75" customHeight="1">
      <c r="A12" s="110"/>
      <c r="B12" s="583"/>
      <c r="C12" s="127"/>
      <c r="D12" s="126"/>
      <c r="E12" s="138" t="s">
        <v>110</v>
      </c>
      <c r="F12" s="139" t="s">
        <v>111</v>
      </c>
      <c r="G12" s="140" t="s">
        <v>112</v>
      </c>
      <c r="H12" s="140" t="s">
        <v>113</v>
      </c>
      <c r="I12" s="139" t="s">
        <v>114</v>
      </c>
      <c r="J12" s="585"/>
      <c r="K12" s="586"/>
      <c r="L12" s="586"/>
      <c r="M12" s="141"/>
      <c r="N12" s="142"/>
      <c r="O12" s="142"/>
      <c r="P12" s="143"/>
      <c r="Q12" s="121"/>
      <c r="R12" s="110"/>
    </row>
    <row r="13" spans="1:18" ht="15" customHeight="1">
      <c r="A13" s="110"/>
      <c r="B13" s="583"/>
      <c r="C13" s="127"/>
      <c r="D13" s="126"/>
      <c r="E13" s="138" t="str">
        <f>LEFT(F13,2)</f>
        <v>Bi</v>
      </c>
      <c r="F13" s="144" t="str">
        <f>'2. Company Facts'!B10</f>
        <v>Bitte Auswählen</v>
      </c>
      <c r="G13" s="145" t="str">
        <f>'2. Company Facts'!C10</f>
        <v>bitte einfügen</v>
      </c>
      <c r="H13" s="145" t="str">
        <f>'2. Company Facts'!D10</f>
        <v>Bitte Auswählen</v>
      </c>
      <c r="I13" s="146">
        <f>'2. Company Facts'!F10</f>
        <v>0</v>
      </c>
      <c r="J13" s="585"/>
      <c r="K13" s="586"/>
      <c r="L13" s="586"/>
      <c r="M13" s="147"/>
      <c r="N13" s="148"/>
      <c r="O13" s="148"/>
      <c r="P13" s="149"/>
      <c r="Q13" s="121"/>
      <c r="R13" s="110"/>
    </row>
    <row r="14" spans="1:18" ht="15" customHeight="1">
      <c r="A14" s="110"/>
      <c r="B14" s="583"/>
      <c r="C14" s="150"/>
      <c r="D14" s="151"/>
      <c r="E14" s="138" t="str">
        <f>LEFT(F14,2)</f>
        <v>Bi</v>
      </c>
      <c r="F14" s="152" t="str">
        <f>'2. Company Facts'!B11</f>
        <v>Bitte Auswählen</v>
      </c>
      <c r="G14" s="153" t="str">
        <f>'2. Company Facts'!C11</f>
        <v>bitte einfügen</v>
      </c>
      <c r="H14" s="153" t="str">
        <f>'2. Company Facts'!D11</f>
        <v>Bitte Auswählen</v>
      </c>
      <c r="I14" s="154">
        <f>'2. Company Facts'!F11</f>
        <v>0</v>
      </c>
      <c r="J14" s="585"/>
      <c r="K14" s="586"/>
      <c r="L14" s="586"/>
      <c r="M14" s="155">
        <f>'3. Calc'!D10</f>
        <v>1</v>
      </c>
      <c r="N14" s="156">
        <f>'3. Calc'!D13</f>
        <v>1</v>
      </c>
      <c r="O14" s="157">
        <f>'3. Calc'!D16</f>
        <v>1</v>
      </c>
      <c r="P14" s="158">
        <f>'3. Calc'!D19</f>
        <v>0.5</v>
      </c>
      <c r="Q14" s="159">
        <f>'11.Region'!U10</f>
        <v>0</v>
      </c>
      <c r="R14" s="110"/>
    </row>
    <row r="15" spans="1:18" ht="15" customHeight="1">
      <c r="A15" s="110"/>
      <c r="B15" s="151"/>
      <c r="C15" s="150"/>
      <c r="D15" s="151"/>
      <c r="E15" s="138" t="str">
        <f>LEFT(F15,2)</f>
        <v>Bi</v>
      </c>
      <c r="F15" s="160" t="str">
        <f>'2. Company Facts'!B12</f>
        <v>Bitte Auswählen</v>
      </c>
      <c r="G15" s="153" t="str">
        <f>'2. Company Facts'!C12</f>
        <v>bitte einfügen</v>
      </c>
      <c r="H15" s="153" t="str">
        <f>'2. Company Facts'!D12</f>
        <v>Bitte Auswählen</v>
      </c>
      <c r="I15" s="154">
        <f>'2. Company Facts'!F12</f>
        <v>0</v>
      </c>
      <c r="J15" s="585"/>
      <c r="K15" s="586"/>
      <c r="L15" s="586"/>
      <c r="M15" s="161">
        <f>M49</f>
        <v>51.282051282051277</v>
      </c>
      <c r="N15" s="162">
        <f>N49</f>
        <v>51.282051282051277</v>
      </c>
      <c r="O15" s="162">
        <f>O49</f>
        <v>51.282051282051277</v>
      </c>
      <c r="P15" s="163">
        <f>P49</f>
        <v>25.641025641025639</v>
      </c>
      <c r="Q15" s="159"/>
      <c r="R15" s="110"/>
    </row>
    <row r="16" spans="1:18" ht="15" customHeight="1" thickBot="1">
      <c r="A16" s="110"/>
      <c r="B16" s="122"/>
      <c r="C16" s="123"/>
      <c r="D16" s="122"/>
      <c r="E16" s="138" t="str">
        <f>LEFT(F16,2)</f>
        <v>Bi</v>
      </c>
      <c r="F16" s="160" t="str">
        <f>'2. Company Facts'!B13</f>
        <v>Bitte Auswählen</v>
      </c>
      <c r="G16" s="153" t="str">
        <f>'2. Company Facts'!C13</f>
        <v>bitte einfügen</v>
      </c>
      <c r="H16" s="153" t="str">
        <f>'2. Company Facts'!D13</f>
        <v>Bitte Auswählen</v>
      </c>
      <c r="I16" s="154">
        <f>'2. Company Facts'!F13</f>
        <v>0</v>
      </c>
      <c r="J16" s="585"/>
      <c r="K16" s="586"/>
      <c r="L16" s="586"/>
      <c r="M16" s="164">
        <f>'3. Calc'!C83</f>
        <v>1</v>
      </c>
      <c r="N16" s="165">
        <f>'3. Calc'!C83</f>
        <v>1</v>
      </c>
      <c r="O16" s="165">
        <f>IFERROR(IF('11.Region'!N8&gt;1.5,'3. Calc'!C81,IF('11.Region'!N8&gt;1.25,'3. Calc'!C82,IF('11.Region'!N8&lt;0.75,'3. Calc'!C84,'3. Calc'!C83))),'3. Calc'!C83)</f>
        <v>1</v>
      </c>
      <c r="P16" s="166">
        <f>IF('11.Region'!I9&lt;1.5,'3. Calc'!C84,IF('11.Region'!I9&lt;3.26,'3. Calc'!C83,IF('11.Region'!I9&lt;4.5,'3. Calc'!C82,'3. Calc'!C81)))</f>
        <v>0.5</v>
      </c>
      <c r="Q16" s="159"/>
      <c r="R16" s="110"/>
    </row>
    <row r="17" spans="1:18" ht="15" customHeight="1" thickBot="1">
      <c r="A17" s="110"/>
      <c r="B17" s="122"/>
      <c r="C17" s="123"/>
      <c r="D17" s="122"/>
      <c r="E17" s="138" t="str">
        <f>LEFT(F17,2)</f>
        <v>Bi</v>
      </c>
      <c r="F17" s="167" t="str">
        <f>'2. Company Facts'!B14</f>
        <v>Bitte Auswählen</v>
      </c>
      <c r="G17" s="168" t="str">
        <f>'2. Company Facts'!C14</f>
        <v>bitte einfügen</v>
      </c>
      <c r="H17" s="153" t="str">
        <f>'2. Company Facts'!D14</f>
        <v>Bitte Auswählen</v>
      </c>
      <c r="I17" s="154">
        <f>'2. Company Facts'!F14</f>
        <v>0</v>
      </c>
      <c r="J17" s="585"/>
      <c r="K17" s="586"/>
      <c r="L17" s="586"/>
      <c r="M17" s="147"/>
      <c r="N17" s="148"/>
      <c r="O17" s="148"/>
      <c r="P17" s="149"/>
      <c r="Q17" s="159"/>
      <c r="R17" s="110"/>
    </row>
    <row r="18" spans="1:18" ht="15.75" customHeight="1" thickTop="1" thickBot="1">
      <c r="A18" s="110"/>
      <c r="B18" s="170"/>
      <c r="C18" s="171"/>
      <c r="D18" s="172"/>
      <c r="E18" s="173"/>
      <c r="F18" s="174" t="s">
        <v>115</v>
      </c>
      <c r="G18" s="174"/>
      <c r="H18" s="428" t="str">
        <f>'2. Company Facts'!D15</f>
        <v>Bitte Auswählen</v>
      </c>
      <c r="I18" s="169">
        <f>'2. Company Facts'!F15</f>
        <v>0</v>
      </c>
      <c r="J18" s="585"/>
      <c r="K18" s="586"/>
      <c r="L18" s="586"/>
      <c r="M18" s="175"/>
      <c r="N18" s="176"/>
      <c r="O18" s="176"/>
      <c r="P18" s="177"/>
      <c r="Q18" s="178"/>
      <c r="R18" s="110"/>
    </row>
    <row r="19" spans="1:18" ht="13.5" customHeight="1" thickTop="1" thickBot="1">
      <c r="A19" s="110"/>
      <c r="B19" s="151"/>
      <c r="C19" s="150"/>
      <c r="D19" s="151"/>
      <c r="E19" s="138"/>
      <c r="F19" s="596" t="s">
        <v>116</v>
      </c>
      <c r="G19" s="596"/>
      <c r="H19" s="596"/>
      <c r="I19" s="179">
        <f>'2. Company Facts'!C18</f>
        <v>0</v>
      </c>
      <c r="J19" s="597" t="s">
        <v>117</v>
      </c>
      <c r="K19" s="598" t="str">
        <f>K50</f>
        <v>1</v>
      </c>
      <c r="L19" s="587">
        <f>M23+N23+O23+P23</f>
        <v>205.12820512820511</v>
      </c>
      <c r="M19" s="599" t="s">
        <v>28</v>
      </c>
      <c r="N19" s="592" t="s">
        <v>32</v>
      </c>
      <c r="O19" s="592" t="s">
        <v>35</v>
      </c>
      <c r="P19" s="593" t="s">
        <v>39</v>
      </c>
      <c r="Q19" s="159"/>
      <c r="R19" s="110"/>
    </row>
    <row r="20" spans="1:18" ht="15" customHeight="1">
      <c r="A20" s="110"/>
      <c r="B20" s="151"/>
      <c r="C20" s="150"/>
      <c r="D20" s="151"/>
      <c r="E20" s="138"/>
      <c r="F20" s="594" t="s">
        <v>118</v>
      </c>
      <c r="G20" s="594"/>
      <c r="H20" s="594"/>
      <c r="I20" s="180" t="str">
        <f>IFERROR(I19/I32,"-")</f>
        <v>-</v>
      </c>
      <c r="J20" s="597"/>
      <c r="K20" s="598"/>
      <c r="L20" s="598"/>
      <c r="M20" s="599"/>
      <c r="N20" s="592" t="s">
        <v>119</v>
      </c>
      <c r="O20" s="592"/>
      <c r="P20" s="593" t="s">
        <v>120</v>
      </c>
      <c r="Q20" s="159"/>
      <c r="R20" s="110"/>
    </row>
    <row r="21" spans="1:18" ht="15" customHeight="1">
      <c r="A21" s="110"/>
      <c r="B21" s="151"/>
      <c r="C21" s="150"/>
      <c r="D21" s="151"/>
      <c r="E21" s="138"/>
      <c r="F21" s="595" t="s">
        <v>121</v>
      </c>
      <c r="G21" s="595"/>
      <c r="H21" s="595"/>
      <c r="I21" s="181">
        <f>'2. Company Facts'!C19</f>
        <v>0</v>
      </c>
      <c r="J21" s="597"/>
      <c r="K21" s="598"/>
      <c r="L21" s="598"/>
      <c r="M21" s="141"/>
      <c r="N21" s="142"/>
      <c r="O21" s="142"/>
      <c r="P21" s="143"/>
      <c r="Q21" s="159"/>
      <c r="R21" s="110"/>
    </row>
    <row r="22" spans="1:18" ht="15" customHeight="1">
      <c r="A22" s="110"/>
      <c r="B22" s="118"/>
      <c r="C22" s="182"/>
      <c r="D22" s="118"/>
      <c r="E22" s="183">
        <f>IFERROR((G24+I24)/I23,0.2)</f>
        <v>0.2</v>
      </c>
      <c r="F22" s="184" t="s">
        <v>122</v>
      </c>
      <c r="G22" s="600" t="s">
        <v>123</v>
      </c>
      <c r="H22" s="600"/>
      <c r="I22" s="185">
        <f>'2. Company Facts'!C20</f>
        <v>0</v>
      </c>
      <c r="J22" s="597"/>
      <c r="K22" s="598"/>
      <c r="L22" s="598"/>
      <c r="M22" s="186">
        <f>'3. Calc'!D22</f>
        <v>1</v>
      </c>
      <c r="N22" s="187">
        <f>'3. Calc'!D24</f>
        <v>1</v>
      </c>
      <c r="O22" s="187">
        <f>'3. Calc'!D27</f>
        <v>1</v>
      </c>
      <c r="P22" s="188">
        <f>'3. Calc'!D30</f>
        <v>1</v>
      </c>
      <c r="Q22" s="189"/>
      <c r="R22" s="110"/>
    </row>
    <row r="23" spans="1:18" ht="15" customHeight="1">
      <c r="A23" s="110"/>
      <c r="B23" s="118"/>
      <c r="C23" s="182"/>
      <c r="D23" s="118"/>
      <c r="E23" s="190">
        <f>IFERROR(I32/I23,0.3)</f>
        <v>0.3</v>
      </c>
      <c r="F23" s="184" t="s">
        <v>124</v>
      </c>
      <c r="G23" s="595" t="s">
        <v>125</v>
      </c>
      <c r="H23" s="595"/>
      <c r="I23" s="191">
        <f>'2. Company Facts'!C21</f>
        <v>0</v>
      </c>
      <c r="J23" s="597"/>
      <c r="K23" s="598"/>
      <c r="L23" s="598"/>
      <c r="M23" s="161">
        <f>M50</f>
        <v>51.282051282051277</v>
      </c>
      <c r="N23" s="162">
        <f>N50</f>
        <v>51.282051282051277</v>
      </c>
      <c r="O23" s="162">
        <f>O50</f>
        <v>51.282051282051277</v>
      </c>
      <c r="P23" s="163">
        <f>P50</f>
        <v>51.282051282051277</v>
      </c>
      <c r="Q23" s="189"/>
      <c r="R23" s="110"/>
    </row>
    <row r="24" spans="1:18" ht="15.75" customHeight="1">
      <c r="A24" s="110"/>
      <c r="B24" s="192"/>
      <c r="C24" s="193"/>
      <c r="D24" s="194"/>
      <c r="E24" s="173"/>
      <c r="F24" s="195" t="s">
        <v>126</v>
      </c>
      <c r="G24" s="179">
        <f>'2. Company Facts'!C22</f>
        <v>0</v>
      </c>
      <c r="H24" s="195" t="s">
        <v>127</v>
      </c>
      <c r="I24" s="196">
        <f>'2. Company Facts'!C23</f>
        <v>0</v>
      </c>
      <c r="J24" s="597"/>
      <c r="K24" s="598"/>
      <c r="L24" s="598"/>
      <c r="M24" s="197">
        <f>IFERROR(IF(H35='10. Industry'!A22,'3. Calc'!C81,IF(E23&lt;0.1,'3. Calc'!C82,IF(E23&gt;0.5,'3. Calc'!C84,'3. Calc'!C83))),'3. Calc'!C83)</f>
        <v>1</v>
      </c>
      <c r="N24" s="198">
        <f>IFERROR(IF(I20="-",'3. Calc'!C83,IF(I20&gt;0.1,'3. Calc'!C82,IF(I20&lt;0.001,'3. Calc'!C85,IF(I20&lt;0.03,'3. Calc'!C84,'3. Calc'!C83)))),'3. Calc'!C83)</f>
        <v>1</v>
      </c>
      <c r="O24" s="198">
        <f>IFERROR(IF(H35='10. Industry'!A22,'3. Calc'!C81,IF(E22&lt;0.1,'3. Calc'!C84,IF(E22&gt;0.25,'3. Calc'!C82,'3. Calc'!C83))),'3. Calc'!C83)</f>
        <v>1</v>
      </c>
      <c r="P24" s="199">
        <f>IF(H40="Kleinstunternehmen",'3. Calc'!C84,'3. Calc'!C83)</f>
        <v>1</v>
      </c>
      <c r="Q24" s="200"/>
      <c r="R24" s="110"/>
    </row>
    <row r="25" spans="1:18" ht="12" customHeight="1">
      <c r="A25" s="110"/>
      <c r="B25" s="192"/>
      <c r="C25" s="201"/>
      <c r="D25" s="202"/>
      <c r="E25" s="138"/>
      <c r="F25" s="596" t="s">
        <v>128</v>
      </c>
      <c r="G25" s="596"/>
      <c r="H25" s="596"/>
      <c r="I25" s="203">
        <f>'2. Company Facts'!C27</f>
        <v>0</v>
      </c>
      <c r="J25" s="597" t="s">
        <v>129</v>
      </c>
      <c r="K25" s="598" t="str">
        <f>K51</f>
        <v>1</v>
      </c>
      <c r="L25" s="587">
        <f>M29+N29+O29+P29</f>
        <v>205.12820512820511</v>
      </c>
      <c r="M25" s="602" t="s">
        <v>43</v>
      </c>
      <c r="N25" s="601" t="s">
        <v>48</v>
      </c>
      <c r="O25" s="592" t="s">
        <v>53</v>
      </c>
      <c r="P25" s="593" t="s">
        <v>58</v>
      </c>
      <c r="Q25" s="189"/>
      <c r="R25" s="110"/>
    </row>
    <row r="26" spans="1:18" ht="15" customHeight="1">
      <c r="A26" s="110"/>
      <c r="B26" s="192"/>
      <c r="C26" s="201"/>
      <c r="D26" s="202"/>
      <c r="E26" s="138"/>
      <c r="F26" s="595" t="s">
        <v>130</v>
      </c>
      <c r="G26" s="595"/>
      <c r="H26" s="595"/>
      <c r="I26" s="204">
        <f>'2. Company Facts'!C26</f>
        <v>0</v>
      </c>
      <c r="J26" s="597"/>
      <c r="K26" s="598"/>
      <c r="L26" s="598"/>
      <c r="M26" s="602"/>
      <c r="N26" s="601"/>
      <c r="O26" s="592" t="s">
        <v>131</v>
      </c>
      <c r="P26" s="593" t="s">
        <v>132</v>
      </c>
      <c r="Q26" s="189"/>
      <c r="R26" s="110"/>
    </row>
    <row r="27" spans="1:18" ht="12" customHeight="1">
      <c r="A27" s="110"/>
      <c r="B27" s="192"/>
      <c r="C27" s="201"/>
      <c r="D27" s="202"/>
      <c r="E27" s="138"/>
      <c r="F27" s="205"/>
      <c r="G27" s="447" t="s">
        <v>133</v>
      </c>
      <c r="H27" s="206" t="str">
        <f>'2. Company Facts'!B30</f>
        <v>Bitte Auswählen</v>
      </c>
      <c r="I27" s="207">
        <f>'2. Company Facts'!D30</f>
        <v>0</v>
      </c>
      <c r="J27" s="597"/>
      <c r="K27" s="598"/>
      <c r="L27" s="598"/>
      <c r="M27" s="141"/>
      <c r="N27" s="142"/>
      <c r="O27" s="142"/>
      <c r="P27" s="143"/>
      <c r="Q27" s="189"/>
      <c r="R27" s="110"/>
    </row>
    <row r="28" spans="1:18" ht="15" customHeight="1">
      <c r="A28" s="110"/>
      <c r="B28" s="122"/>
      <c r="C28" s="182"/>
      <c r="D28" s="118"/>
      <c r="E28" s="138"/>
      <c r="F28" s="205"/>
      <c r="G28" s="447" t="s">
        <v>134</v>
      </c>
      <c r="H28" s="208" t="str">
        <f>'2. Company Facts'!B31</f>
        <v>Bitte Auswählen</v>
      </c>
      <c r="I28" s="209">
        <f>'2. Company Facts'!D31</f>
        <v>0</v>
      </c>
      <c r="J28" s="597"/>
      <c r="K28" s="598"/>
      <c r="L28" s="598"/>
      <c r="M28" s="186">
        <f>'3. Calc'!D34</f>
        <v>1</v>
      </c>
      <c r="N28" s="187">
        <f>'3. Calc'!D37</f>
        <v>1</v>
      </c>
      <c r="O28" s="187">
        <f>'3. Calc'!D40</f>
        <v>1</v>
      </c>
      <c r="P28" s="188">
        <f>'3. Calc'!D43</f>
        <v>1</v>
      </c>
      <c r="Q28" s="189"/>
      <c r="R28" s="110"/>
    </row>
    <row r="29" spans="1:18" ht="15" customHeight="1">
      <c r="A29" s="110"/>
      <c r="B29" s="122"/>
      <c r="C29" s="182"/>
      <c r="D29" s="118"/>
      <c r="E29" s="138"/>
      <c r="F29" s="205"/>
      <c r="G29" s="447" t="s">
        <v>134</v>
      </c>
      <c r="H29" s="210" t="str">
        <f>'2. Company Facts'!B32</f>
        <v>Bitte Auswählen</v>
      </c>
      <c r="I29" s="211">
        <f>'2. Company Facts'!D32</f>
        <v>0</v>
      </c>
      <c r="J29" s="597"/>
      <c r="K29" s="598"/>
      <c r="L29" s="598"/>
      <c r="M29" s="161">
        <f>M51</f>
        <v>51.282051282051277</v>
      </c>
      <c r="N29" s="162">
        <f>N51</f>
        <v>51.282051282051277</v>
      </c>
      <c r="O29" s="162">
        <f>O51</f>
        <v>51.282051282051277</v>
      </c>
      <c r="P29" s="163">
        <f>P51</f>
        <v>51.282051282051277</v>
      </c>
      <c r="Q29" s="189"/>
      <c r="R29" s="110"/>
    </row>
    <row r="30" spans="1:18" ht="15" customHeight="1">
      <c r="A30" s="110"/>
      <c r="B30" s="122"/>
      <c r="C30" s="182"/>
      <c r="D30" s="118"/>
      <c r="E30" s="138"/>
      <c r="F30" s="595" t="s">
        <v>135</v>
      </c>
      <c r="G30" s="595"/>
      <c r="H30" s="595"/>
      <c r="I30" s="212">
        <f>'2. Company Facts'!C33</f>
        <v>0</v>
      </c>
      <c r="J30" s="597"/>
      <c r="K30" s="598"/>
      <c r="L30" s="598"/>
      <c r="M30" s="164">
        <f>'3. Calc'!C83</f>
        <v>1</v>
      </c>
      <c r="N30" s="164">
        <f>'3. Calc'!C83</f>
        <v>1</v>
      </c>
      <c r="O30" s="165">
        <f>IF(AND(OR(I31="Nein",I31="No",I31="Nao",I31="Pas"),I30&lt;10),'3. Calc'!C84,IF(I30&gt;25,'3. Calc'!C82,'3. Calc'!C83))</f>
        <v>1</v>
      </c>
      <c r="P30" s="166">
        <f>IF(I26=1,'3. Calc'!C85,IF(H40="Kleinstunternehmen",'3. Calc'!C84,IF('11.Region'!I14&gt;3.25,'3. Calc'!C82,'3. Calc'!C83)))</f>
        <v>1</v>
      </c>
      <c r="Q30" s="189"/>
      <c r="R30" s="110"/>
    </row>
    <row r="31" spans="1:18" ht="15.75" customHeight="1">
      <c r="A31" s="110"/>
      <c r="B31" s="192"/>
      <c r="C31" s="193"/>
      <c r="D31" s="194"/>
      <c r="E31" s="173"/>
      <c r="F31" s="603" t="s">
        <v>136</v>
      </c>
      <c r="G31" s="603"/>
      <c r="H31" s="603"/>
      <c r="I31" s="213">
        <f>'2. Company Facts'!C34</f>
        <v>0</v>
      </c>
      <c r="J31" s="597"/>
      <c r="K31" s="598"/>
      <c r="L31" s="598"/>
      <c r="M31" s="175"/>
      <c r="N31" s="176"/>
      <c r="O31" s="176"/>
      <c r="P31" s="177"/>
      <c r="Q31" s="200"/>
      <c r="R31" s="110"/>
    </row>
    <row r="32" spans="1:18" ht="12.75" customHeight="1">
      <c r="A32" s="110"/>
      <c r="B32" s="192"/>
      <c r="C32" s="201"/>
      <c r="D32" s="202"/>
      <c r="E32" s="138"/>
      <c r="F32" s="604" t="s">
        <v>137</v>
      </c>
      <c r="G32" s="604"/>
      <c r="H32" s="604"/>
      <c r="I32" s="214">
        <f>'2. Company Facts'!C37</f>
        <v>0</v>
      </c>
      <c r="J32" s="597" t="s">
        <v>138</v>
      </c>
      <c r="K32" s="598">
        <v>1</v>
      </c>
      <c r="L32" s="587">
        <f>M36+N36+O36+P36</f>
        <v>205.12820512820511</v>
      </c>
      <c r="M32" s="605" t="s">
        <v>64</v>
      </c>
      <c r="N32" s="606" t="s">
        <v>68</v>
      </c>
      <c r="O32" s="589" t="s">
        <v>72</v>
      </c>
      <c r="P32" s="590" t="s">
        <v>76</v>
      </c>
      <c r="Q32" s="189"/>
      <c r="R32" s="110"/>
    </row>
    <row r="33" spans="1:19" ht="15" customHeight="1">
      <c r="A33" s="110"/>
      <c r="B33" s="192"/>
      <c r="C33" s="201"/>
      <c r="D33" s="202"/>
      <c r="E33" s="138"/>
      <c r="F33" s="445"/>
      <c r="G33" s="445"/>
      <c r="H33" s="445" t="s">
        <v>139</v>
      </c>
      <c r="I33" s="215">
        <f>'2. Company Facts'!C38</f>
        <v>0</v>
      </c>
      <c r="J33" s="597"/>
      <c r="K33" s="598"/>
      <c r="L33" s="598"/>
      <c r="M33" s="605"/>
      <c r="N33" s="606"/>
      <c r="O33" s="589"/>
      <c r="P33" s="590"/>
      <c r="Q33" s="189"/>
      <c r="R33" s="110"/>
    </row>
    <row r="34" spans="1:19" ht="23.25" customHeight="1">
      <c r="A34" s="110"/>
      <c r="B34" s="192"/>
      <c r="C34" s="201"/>
      <c r="D34" s="202"/>
      <c r="E34" s="138"/>
      <c r="F34" s="139" t="s">
        <v>111</v>
      </c>
      <c r="G34" s="139" t="s">
        <v>112</v>
      </c>
      <c r="H34" s="448" t="s">
        <v>140</v>
      </c>
      <c r="I34" s="446" t="s">
        <v>141</v>
      </c>
      <c r="J34" s="597"/>
      <c r="K34" s="598"/>
      <c r="L34" s="598"/>
      <c r="M34" s="141"/>
      <c r="N34" s="142"/>
      <c r="O34" s="142"/>
      <c r="P34" s="143"/>
      <c r="Q34" s="189"/>
      <c r="R34" s="110"/>
    </row>
    <row r="35" spans="1:19" ht="15" customHeight="1">
      <c r="A35" s="110"/>
      <c r="B35" s="192"/>
      <c r="C35" s="201"/>
      <c r="D35" s="202"/>
      <c r="E35" s="138"/>
      <c r="F35" s="216" t="str">
        <f>'2. Company Facts'!B41</f>
        <v>Bitte Auswählen</v>
      </c>
      <c r="G35" s="217">
        <f>'2. Company Facts'!C41</f>
        <v>0</v>
      </c>
      <c r="H35" s="448" t="str">
        <f>LEFT(F35,2)</f>
        <v>Bi</v>
      </c>
      <c r="I35" s="218">
        <f>'2. Company Facts'!D41</f>
        <v>0</v>
      </c>
      <c r="J35" s="597"/>
      <c r="K35" s="598"/>
      <c r="L35" s="598"/>
      <c r="M35" s="186">
        <f>'3. Calc'!D47</f>
        <v>1</v>
      </c>
      <c r="N35" s="187">
        <f>'3. Calc'!D50</f>
        <v>1</v>
      </c>
      <c r="O35" s="187">
        <f>'3. Calc'!D53</f>
        <v>1</v>
      </c>
      <c r="P35" s="188">
        <f>'3. Calc'!D56</f>
        <v>1</v>
      </c>
      <c r="Q35" s="189"/>
      <c r="R35" s="110"/>
    </row>
    <row r="36" spans="1:19" ht="15" customHeight="1">
      <c r="A36" s="110"/>
      <c r="B36" s="192"/>
      <c r="C36" s="201"/>
      <c r="D36" s="202"/>
      <c r="E36" s="138"/>
      <c r="F36" s="219" t="str">
        <f>'2. Company Facts'!B42</f>
        <v>Bitte Auswählen</v>
      </c>
      <c r="G36" s="220">
        <f>'2. Company Facts'!C42</f>
        <v>0</v>
      </c>
      <c r="H36" s="448" t="str">
        <f>LEFT(F36,2)</f>
        <v>Bi</v>
      </c>
      <c r="I36" s="221">
        <f>'2. Company Facts'!D42</f>
        <v>0</v>
      </c>
      <c r="J36" s="597"/>
      <c r="K36" s="598"/>
      <c r="L36" s="598"/>
      <c r="M36" s="161">
        <f>M52</f>
        <v>51.282051282051277</v>
      </c>
      <c r="N36" s="162">
        <f>N52</f>
        <v>51.282051282051277</v>
      </c>
      <c r="O36" s="162">
        <f>O52</f>
        <v>51.282051282051277</v>
      </c>
      <c r="P36" s="163">
        <f>P52</f>
        <v>51.282051282051277</v>
      </c>
      <c r="Q36" s="189"/>
      <c r="R36" s="110"/>
    </row>
    <row r="37" spans="1:19" ht="15.75" customHeight="1">
      <c r="A37" s="110"/>
      <c r="B37" s="222"/>
      <c r="C37" s="223"/>
      <c r="D37" s="224"/>
      <c r="E37" s="173"/>
      <c r="F37" s="225" t="str">
        <f>'2. Company Facts'!B43</f>
        <v>Bitte Auswählen</v>
      </c>
      <c r="G37" s="226">
        <f>'2. Company Facts'!C43</f>
        <v>0</v>
      </c>
      <c r="H37" s="448" t="str">
        <f>LEFT(F37,2)</f>
        <v>Bi</v>
      </c>
      <c r="I37" s="227">
        <f>'2. Company Facts'!D43</f>
        <v>0</v>
      </c>
      <c r="J37" s="597"/>
      <c r="K37" s="598"/>
      <c r="L37" s="598"/>
      <c r="M37" s="197">
        <f>'3. Calc'!C83</f>
        <v>1</v>
      </c>
      <c r="N37" s="197">
        <f>'3. Calc'!C83</f>
        <v>1</v>
      </c>
      <c r="O37" s="198">
        <f>VLOOKUP(S37,'3. Calc'!$B$81:$C$85,2,FALSE)</f>
        <v>1</v>
      </c>
      <c r="P37" s="199">
        <f>IFERROR(IF(I33="Ja",'3. Calc'!C82,'3. Calc'!C83),'3. Calc'!C83)</f>
        <v>1</v>
      </c>
      <c r="Q37" s="200"/>
      <c r="R37" s="110"/>
      <c r="S37" s="228">
        <f>VLOOKUP('10. Industry'!J39,F49:H53,3,FALSE)</f>
        <v>1</v>
      </c>
    </row>
    <row r="38" spans="1:19" ht="20.25" customHeight="1">
      <c r="A38" s="110"/>
      <c r="B38" s="222"/>
      <c r="C38" s="229"/>
      <c r="D38" s="222"/>
      <c r="E38" s="138"/>
      <c r="F38" s="138"/>
      <c r="G38" s="138"/>
      <c r="H38" s="138"/>
      <c r="I38" s="138"/>
      <c r="J38" s="585" t="s">
        <v>142</v>
      </c>
      <c r="K38" s="598">
        <v>1</v>
      </c>
      <c r="L38" s="587">
        <f>M42+N42+O42+P42</f>
        <v>205.12820512820511</v>
      </c>
      <c r="M38" s="602" t="s">
        <v>80</v>
      </c>
      <c r="N38" s="592" t="s">
        <v>84</v>
      </c>
      <c r="O38" s="592" t="s">
        <v>89</v>
      </c>
      <c r="P38" s="593" t="s">
        <v>93</v>
      </c>
      <c r="Q38" s="189"/>
      <c r="R38" s="110"/>
    </row>
    <row r="39" spans="1:19" ht="20.25" customHeight="1">
      <c r="A39" s="110"/>
      <c r="B39" s="222"/>
      <c r="C39" s="229"/>
      <c r="D39" s="222"/>
      <c r="E39" s="138"/>
      <c r="F39" s="138"/>
      <c r="G39" s="138"/>
      <c r="H39" s="138" t="str">
        <f>IF(AND(I26&lt;10,OR(I32&lt;=2000000,I23&lt;=2000000)),'12.lan'!D324,IF(AND(I26&lt;50,OR(I32&lt;=10000000,I23&lt;=10000000)),'12.lan'!D325,IF(AND(I26&lt;250,OR(I32&lt;=50000000,I23&lt;=43000000)),'12.lan'!D326,'12.lan'!D327)))</f>
        <v>Kleinstunternehmen</v>
      </c>
      <c r="I39" s="138"/>
      <c r="J39" s="585"/>
      <c r="K39" s="598"/>
      <c r="L39" s="598"/>
      <c r="M39" s="602"/>
      <c r="N39" s="592"/>
      <c r="O39" s="592"/>
      <c r="P39" s="593"/>
      <c r="Q39" s="189"/>
      <c r="R39" s="110"/>
    </row>
    <row r="40" spans="1:19" ht="15" customHeight="1">
      <c r="A40" s="110"/>
      <c r="B40" s="222"/>
      <c r="C40" s="229"/>
      <c r="D40" s="222"/>
      <c r="E40" s="138"/>
      <c r="F40" s="138" t="s">
        <v>143</v>
      </c>
      <c r="G40" s="138"/>
      <c r="H40" s="138" t="str">
        <f>IF(AND(I26=0,I32=0,I23=0),'12.lan'!E326)</f>
        <v>Mittleres Unternehmen</v>
      </c>
      <c r="I40" s="138"/>
      <c r="J40" s="585"/>
      <c r="K40" s="598"/>
      <c r="L40" s="598"/>
      <c r="M40" s="141"/>
      <c r="N40" s="141"/>
      <c r="O40" s="141"/>
      <c r="P40" s="143"/>
      <c r="Q40" s="189"/>
      <c r="R40" s="110"/>
    </row>
    <row r="41" spans="1:19" ht="14.25" customHeight="1">
      <c r="A41" s="110"/>
      <c r="B41" s="222"/>
      <c r="C41" s="229"/>
      <c r="D41" s="222"/>
      <c r="E41" s="138"/>
      <c r="F41" s="138"/>
      <c r="G41" s="138"/>
      <c r="H41" s="138"/>
      <c r="I41" s="138"/>
      <c r="J41" s="585"/>
      <c r="K41" s="598"/>
      <c r="L41" s="598"/>
      <c r="M41" s="186">
        <f>'3. Calc'!D60</f>
        <v>1</v>
      </c>
      <c r="N41" s="187">
        <f>'3. Calc'!D63</f>
        <v>1</v>
      </c>
      <c r="O41" s="187">
        <f>'3. Calc'!D67</f>
        <v>1</v>
      </c>
      <c r="P41" s="188">
        <f>'3. Calc'!D70</f>
        <v>1</v>
      </c>
      <c r="Q41" s="189"/>
      <c r="R41" s="110"/>
    </row>
    <row r="42" spans="1:19" ht="15.75" customHeight="1">
      <c r="A42" s="110"/>
      <c r="B42" s="222"/>
      <c r="C42" s="223"/>
      <c r="D42" s="224"/>
      <c r="E42" s="173"/>
      <c r="F42" s="173"/>
      <c r="G42" s="173"/>
      <c r="H42" s="173"/>
      <c r="I42" s="173"/>
      <c r="J42" s="585"/>
      <c r="K42" s="598"/>
      <c r="L42" s="598"/>
      <c r="M42" s="230">
        <f>M53</f>
        <v>51.282051282051277</v>
      </c>
      <c r="N42" s="231">
        <f>N53</f>
        <v>51.282051282051277</v>
      </c>
      <c r="O42" s="231">
        <f>O53</f>
        <v>51.282051282051277</v>
      </c>
      <c r="P42" s="232">
        <f>P53</f>
        <v>51.282051282051277</v>
      </c>
      <c r="Q42" s="200"/>
      <c r="R42" s="110"/>
    </row>
    <row r="43" spans="1:19" ht="12.75" customHeight="1">
      <c r="A43" s="110"/>
      <c r="B43" s="112"/>
      <c r="C43" s="112"/>
      <c r="D43" s="112"/>
      <c r="E43" s="112"/>
      <c r="F43" s="112"/>
      <c r="G43" s="112"/>
      <c r="H43" s="112"/>
      <c r="I43" s="112"/>
      <c r="J43" s="112"/>
      <c r="K43" s="112"/>
      <c r="L43" s="112"/>
      <c r="M43" s="233">
        <f>'3. Calc'!C83</f>
        <v>1</v>
      </c>
      <c r="N43" s="233">
        <f>IF(I20="-",'3. Calc'!C83,IF(I20&lt;0.05,'3. Calc'!C84,IF(I20&lt;0.1,'3. Calc'!C83,IF(I20&gt;0.1,'3. Calc'!C82,'3. Calc'!C83))))</f>
        <v>1</v>
      </c>
      <c r="O43" s="233">
        <f>VLOOKUP(S37,'3. Calc'!$B$81:$C$85,2,FALSE)</f>
        <v>1</v>
      </c>
      <c r="P43" s="233">
        <f>IF(H35="B",'3. Calc'!C82,IF(H35="F",'3. Calc'!C82,IF(H40="Kleinstunternehmen",'3. Calc'!C84,IF(H40="Kleinunternehmen",'3. Calc'!C84,'3. Calc'!C83))))</f>
        <v>1</v>
      </c>
      <c r="Q43" s="112"/>
      <c r="R43" s="110"/>
      <c r="S43" s="110">
        <f>VLOOKUP('10. Industry'!L39,F49:H53,3,FALSE)</f>
        <v>1</v>
      </c>
    </row>
    <row r="44" spans="1:19" ht="24" customHeight="1">
      <c r="A44" s="110"/>
      <c r="B44" s="115"/>
      <c r="C44" s="115"/>
      <c r="D44" s="115"/>
      <c r="E44" s="115"/>
      <c r="F44" s="115"/>
      <c r="G44" s="115"/>
      <c r="H44" s="115"/>
      <c r="I44" s="115"/>
      <c r="J44" s="115"/>
      <c r="K44" s="115"/>
      <c r="L44" s="115"/>
      <c r="M44" s="115"/>
      <c r="N44" s="115"/>
      <c r="O44" s="115"/>
      <c r="P44" s="115"/>
      <c r="Q44" s="117"/>
      <c r="R44" s="110"/>
    </row>
    <row r="45" spans="1:19" ht="16.5" customHeight="1">
      <c r="A45" s="110"/>
      <c r="B45" s="126"/>
      <c r="C45" s="126"/>
      <c r="D45" s="126"/>
      <c r="E45" s="126"/>
      <c r="F45" s="126"/>
      <c r="G45" s="126"/>
      <c r="H45" s="126"/>
      <c r="I45" s="126"/>
      <c r="J45" s="126"/>
      <c r="K45" s="126"/>
      <c r="L45" s="126"/>
      <c r="M45" s="609" t="s">
        <v>144</v>
      </c>
      <c r="N45" s="609" t="s">
        <v>145</v>
      </c>
      <c r="O45" s="609" t="s">
        <v>101</v>
      </c>
      <c r="P45" s="609" t="s">
        <v>146</v>
      </c>
      <c r="Q45" s="121"/>
      <c r="R45" s="110"/>
    </row>
    <row r="46" spans="1:19" ht="24.75" customHeight="1">
      <c r="A46" s="110"/>
      <c r="B46" s="126"/>
      <c r="C46" s="126"/>
      <c r="D46" s="126"/>
      <c r="E46" s="126"/>
      <c r="F46" s="126"/>
      <c r="G46" s="126"/>
      <c r="H46" s="126"/>
      <c r="I46" s="126"/>
      <c r="J46" s="126"/>
      <c r="K46" s="126"/>
      <c r="L46" s="126"/>
      <c r="M46" s="609"/>
      <c r="N46" s="609"/>
      <c r="O46" s="609"/>
      <c r="P46" s="609"/>
      <c r="Q46" s="121"/>
      <c r="R46" s="110"/>
    </row>
    <row r="47" spans="1:19" ht="24.75" customHeight="1">
      <c r="A47" s="110"/>
      <c r="B47" s="126"/>
      <c r="C47" s="126"/>
      <c r="D47" s="126"/>
      <c r="E47" s="126"/>
      <c r="F47" s="126"/>
      <c r="G47" s="126"/>
      <c r="H47" s="126"/>
      <c r="I47" s="126"/>
      <c r="J47" s="126"/>
      <c r="K47" s="126"/>
      <c r="L47" s="126"/>
      <c r="M47" s="449"/>
      <c r="N47" s="449"/>
      <c r="O47" s="449"/>
      <c r="P47" s="449"/>
      <c r="Q47" s="121"/>
      <c r="R47" s="110"/>
    </row>
    <row r="48" spans="1:19" ht="26.25" customHeight="1">
      <c r="A48" s="110"/>
      <c r="B48" s="126"/>
      <c r="C48" s="126"/>
      <c r="D48" s="126"/>
      <c r="F48" s="138" t="s">
        <v>147</v>
      </c>
      <c r="G48" s="138"/>
      <c r="H48" s="138"/>
      <c r="I48" s="137"/>
      <c r="J48" s="137"/>
      <c r="K48" s="126"/>
      <c r="L48" s="126"/>
      <c r="M48" s="448"/>
      <c r="N48" s="448"/>
      <c r="O48" s="448"/>
      <c r="P48" s="448"/>
      <c r="Q48" s="121"/>
      <c r="R48" s="110"/>
    </row>
    <row r="49" spans="1:25" ht="18.75" customHeight="1">
      <c r="A49" s="110"/>
      <c r="B49" s="234"/>
      <c r="C49" s="234"/>
      <c r="D49" s="234"/>
      <c r="E49" s="234"/>
      <c r="F49" s="234" t="s">
        <v>148</v>
      </c>
      <c r="G49" s="235"/>
      <c r="H49" s="236">
        <v>0</v>
      </c>
      <c r="I49" s="237">
        <f>IFERROR((60*'11.Region'!G3/('11.Region'!G3+'11.Region'!G10+(I19+I21+I22+G24))*5),100)</f>
        <v>100</v>
      </c>
      <c r="J49" s="237">
        <f>IF(I49&lt;60,60,IF(I49&gt;300,300,I49))</f>
        <v>100</v>
      </c>
      <c r="K49" s="607" t="str">
        <f>IFERROR(IF(J49=60,"0,5",IF(J49=300,"2",IF(J49&lt;180.1,"1","1,5"))),"1")</f>
        <v>1</v>
      </c>
      <c r="L49" s="607"/>
      <c r="M49" s="238">
        <f t="shared" ref="M49:P53" si="0">M62/$Q$67*1000</f>
        <v>51.282051282051277</v>
      </c>
      <c r="N49" s="238">
        <f t="shared" si="0"/>
        <v>51.282051282051277</v>
      </c>
      <c r="O49" s="238">
        <f t="shared" si="0"/>
        <v>51.282051282051277</v>
      </c>
      <c r="P49" s="238">
        <f t="shared" si="0"/>
        <v>25.641025641025639</v>
      </c>
      <c r="Q49" s="239">
        <f>SUM(M49:P49)</f>
        <v>179.48717948717947</v>
      </c>
      <c r="R49" s="110"/>
    </row>
    <row r="50" spans="1:25" ht="18.75" customHeight="1">
      <c r="A50" s="110"/>
      <c r="B50" s="138"/>
      <c r="C50" s="138"/>
      <c r="D50" s="138"/>
      <c r="E50" s="138"/>
      <c r="F50" s="138" t="s">
        <v>149</v>
      </c>
      <c r="G50" s="240"/>
      <c r="H50" s="138">
        <v>0.5</v>
      </c>
      <c r="I50" s="237">
        <f>IFERROR((60*(I19+I21+I22+G24)/('11.Region'!G3+'11.Region'!G10+(I19+I21+I22+G24))*10),100)</f>
        <v>100</v>
      </c>
      <c r="J50" s="237">
        <f>IF(I50&lt;60,60,IF(I50&gt;300,300,I50))</f>
        <v>100</v>
      </c>
      <c r="K50" s="607" t="str">
        <f>IFERROR(IF(J50=60,"0,5",IF(J50=300,"2",IF(J50&lt;180.1,"1","1,5"))),"1")</f>
        <v>1</v>
      </c>
      <c r="L50" s="607"/>
      <c r="M50" s="238">
        <f t="shared" si="0"/>
        <v>51.282051282051277</v>
      </c>
      <c r="N50" s="238">
        <f t="shared" si="0"/>
        <v>51.282051282051277</v>
      </c>
      <c r="O50" s="238">
        <f t="shared" si="0"/>
        <v>51.282051282051277</v>
      </c>
      <c r="P50" s="238">
        <f t="shared" si="0"/>
        <v>51.282051282051277</v>
      </c>
      <c r="Q50" s="239">
        <f>SUM(M50:P50)</f>
        <v>205.12820512820511</v>
      </c>
      <c r="R50" s="110"/>
    </row>
    <row r="51" spans="1:25" ht="18.75" customHeight="1">
      <c r="A51" s="110"/>
      <c r="B51" s="138"/>
      <c r="C51" s="138"/>
      <c r="D51" s="138"/>
      <c r="E51" s="138"/>
      <c r="F51" s="138" t="s">
        <v>150</v>
      </c>
      <c r="G51" s="240"/>
      <c r="H51" s="138">
        <v>1</v>
      </c>
      <c r="I51" s="237">
        <f>IFERROR((60*'11.Region'!G10/('11.Region'!G3+'11.Region'!G10+(I19+I21+I22+G24))*10),100)</f>
        <v>100</v>
      </c>
      <c r="J51" s="237">
        <f>IF(I51&lt;60,60,IF(I51&gt;300,300,I51))</f>
        <v>100</v>
      </c>
      <c r="K51" s="607" t="str">
        <f>IFERROR(IF(J51=60,"0,5",IF(J51=300,"2",IF(J51&lt;180.1,"1","1,5"))),"1")</f>
        <v>1</v>
      </c>
      <c r="L51" s="607"/>
      <c r="M51" s="238">
        <f t="shared" si="0"/>
        <v>51.282051282051277</v>
      </c>
      <c r="N51" s="238">
        <f t="shared" si="0"/>
        <v>51.282051282051277</v>
      </c>
      <c r="O51" s="238">
        <f t="shared" si="0"/>
        <v>51.282051282051277</v>
      </c>
      <c r="P51" s="238">
        <f t="shared" si="0"/>
        <v>51.282051282051277</v>
      </c>
      <c r="Q51" s="239">
        <f>SUM(M51:P51)</f>
        <v>205.12820512820511</v>
      </c>
      <c r="R51" s="110"/>
    </row>
    <row r="52" spans="1:25" ht="18.75" customHeight="1">
      <c r="A52" s="110"/>
      <c r="B52" s="138"/>
      <c r="C52" s="138"/>
      <c r="D52" s="138"/>
      <c r="E52" s="138"/>
      <c r="F52" s="138" t="s">
        <v>151</v>
      </c>
      <c r="G52" s="240"/>
      <c r="H52" s="138">
        <v>1.5</v>
      </c>
      <c r="I52" s="138"/>
      <c r="J52" s="138"/>
      <c r="K52" s="607">
        <f>K32</f>
        <v>1</v>
      </c>
      <c r="L52" s="607"/>
      <c r="M52" s="238">
        <f t="shared" si="0"/>
        <v>51.282051282051277</v>
      </c>
      <c r="N52" s="238">
        <f t="shared" si="0"/>
        <v>51.282051282051277</v>
      </c>
      <c r="O52" s="238">
        <f t="shared" si="0"/>
        <v>51.282051282051277</v>
      </c>
      <c r="P52" s="238">
        <f t="shared" si="0"/>
        <v>51.282051282051277</v>
      </c>
      <c r="Q52" s="239">
        <f>SUM(M52:P52)</f>
        <v>205.12820512820511</v>
      </c>
      <c r="R52" s="110"/>
    </row>
    <row r="53" spans="1:25" ht="18.75" customHeight="1">
      <c r="A53" s="110"/>
      <c r="B53" s="138"/>
      <c r="C53" s="138"/>
      <c r="D53" s="138"/>
      <c r="E53" s="138"/>
      <c r="F53" s="138" t="s">
        <v>152</v>
      </c>
      <c r="G53" s="240"/>
      <c r="H53" s="138">
        <v>2</v>
      </c>
      <c r="I53" s="138"/>
      <c r="J53" s="138"/>
      <c r="K53" s="607">
        <f>K38</f>
        <v>1</v>
      </c>
      <c r="L53" s="607"/>
      <c r="M53" s="238">
        <f t="shared" si="0"/>
        <v>51.282051282051277</v>
      </c>
      <c r="N53" s="238">
        <f t="shared" si="0"/>
        <v>51.282051282051277</v>
      </c>
      <c r="O53" s="238">
        <f t="shared" si="0"/>
        <v>51.282051282051277</v>
      </c>
      <c r="P53" s="238">
        <f t="shared" si="0"/>
        <v>51.282051282051277</v>
      </c>
      <c r="Q53" s="239">
        <f>SUM(M53:P53)</f>
        <v>205.12820512820511</v>
      </c>
      <c r="R53" s="110"/>
    </row>
    <row r="54" spans="1:25" ht="18.75" customHeight="1">
      <c r="A54" s="110"/>
      <c r="B54" s="241"/>
      <c r="C54" s="241"/>
      <c r="D54" s="241"/>
      <c r="E54" s="241"/>
      <c r="F54" s="241"/>
      <c r="G54" s="241"/>
      <c r="H54" s="241"/>
      <c r="I54" s="241"/>
      <c r="J54" s="241"/>
      <c r="K54" s="241"/>
      <c r="L54" s="241"/>
      <c r="M54" s="242">
        <f>SUM(M49:M53)</f>
        <v>256.41025641025641</v>
      </c>
      <c r="N54" s="242">
        <f>SUM(N49:N53)</f>
        <v>256.41025641025641</v>
      </c>
      <c r="O54" s="242">
        <f>SUM(O49:O53)</f>
        <v>256.41025641025641</v>
      </c>
      <c r="P54" s="242">
        <f>SUM(P49:P53)</f>
        <v>230.76923076923075</v>
      </c>
      <c r="Q54" s="243">
        <f>SUM(Q49:Q53)</f>
        <v>999.99999999999989</v>
      </c>
      <c r="R54" s="110"/>
    </row>
    <row r="55" spans="1:25" ht="18.75" customHeight="1">
      <c r="A55" s="110"/>
      <c r="B55" s="110"/>
      <c r="C55" s="110"/>
      <c r="D55" s="110"/>
      <c r="E55" s="110"/>
      <c r="F55" s="110"/>
      <c r="G55" s="110"/>
      <c r="H55" s="110"/>
      <c r="I55" s="110"/>
      <c r="J55" s="110"/>
      <c r="K55" s="110"/>
      <c r="L55" s="110"/>
      <c r="M55" s="111"/>
      <c r="N55" s="111"/>
      <c r="O55" s="111"/>
      <c r="P55" s="111"/>
      <c r="Q55" s="110"/>
      <c r="R55" s="110"/>
    </row>
    <row r="56" spans="1:25" ht="24.75" customHeight="1">
      <c r="A56" s="110"/>
      <c r="B56" s="110"/>
      <c r="C56" s="110"/>
      <c r="D56" s="110"/>
      <c r="E56" s="110"/>
      <c r="F56" s="110"/>
      <c r="G56" s="110"/>
      <c r="H56" s="110"/>
      <c r="I56" s="110"/>
      <c r="J56" s="110"/>
      <c r="K56" s="110"/>
      <c r="L56" s="110"/>
      <c r="M56" s="111"/>
      <c r="N56" s="111"/>
      <c r="O56" s="111"/>
      <c r="P56" s="111"/>
      <c r="Q56" s="110"/>
      <c r="R56" s="110"/>
    </row>
    <row r="57" spans="1:25" ht="24.75" customHeight="1">
      <c r="A57" s="110"/>
      <c r="B57" s="110"/>
      <c r="C57" s="110"/>
      <c r="D57" s="110"/>
      <c r="E57" s="110"/>
      <c r="F57" s="110"/>
      <c r="G57" s="110"/>
      <c r="H57" s="110"/>
      <c r="I57" s="110"/>
      <c r="J57" s="110"/>
      <c r="K57" s="110"/>
      <c r="L57" s="110"/>
      <c r="M57" s="111"/>
      <c r="N57" s="111"/>
      <c r="O57" s="111"/>
      <c r="P57" s="111"/>
      <c r="Q57" s="110"/>
      <c r="R57" s="110"/>
    </row>
    <row r="58" spans="1:25" ht="27.75" customHeight="1">
      <c r="A58" s="110"/>
      <c r="B58" s="608"/>
      <c r="C58" s="608"/>
      <c r="D58" s="608"/>
      <c r="E58" s="608"/>
      <c r="F58" s="608"/>
      <c r="G58" s="608"/>
      <c r="H58" s="608"/>
      <c r="I58" s="608"/>
      <c r="J58" s="608"/>
      <c r="K58" s="608"/>
      <c r="L58" s="608"/>
      <c r="M58" s="608"/>
      <c r="N58" s="608"/>
      <c r="O58" s="608"/>
      <c r="P58" s="608"/>
      <c r="Q58" s="608"/>
      <c r="R58" s="112"/>
      <c r="S58" s="112"/>
    </row>
    <row r="59" spans="1:25" ht="27.75" customHeight="1">
      <c r="A59" s="110"/>
      <c r="B59" s="126"/>
      <c r="C59" s="126"/>
      <c r="D59" s="126"/>
      <c r="E59" s="126"/>
      <c r="F59" s="126"/>
      <c r="G59" s="126"/>
      <c r="H59" s="126"/>
      <c r="I59" s="126"/>
      <c r="J59" s="126"/>
      <c r="K59" s="126"/>
      <c r="L59" s="126"/>
      <c r="M59" s="449" t="s">
        <v>144</v>
      </c>
      <c r="N59" s="449" t="s">
        <v>145</v>
      </c>
      <c r="O59" s="449" t="s">
        <v>101</v>
      </c>
      <c r="P59" s="449" t="s">
        <v>146</v>
      </c>
      <c r="Q59" s="121"/>
      <c r="R59" s="112"/>
      <c r="S59" s="112"/>
    </row>
    <row r="60" spans="1:25" ht="19.5" customHeight="1">
      <c r="A60" s="110"/>
      <c r="B60" s="126"/>
      <c r="C60" s="126"/>
      <c r="D60" s="126"/>
      <c r="E60" s="126"/>
      <c r="F60" s="126"/>
      <c r="G60" s="126"/>
      <c r="H60" s="126"/>
      <c r="I60" s="126"/>
      <c r="J60" s="126"/>
      <c r="K60" s="126"/>
      <c r="L60" s="126"/>
      <c r="M60" s="449"/>
      <c r="N60" s="449"/>
      <c r="O60" s="449"/>
      <c r="P60" s="449"/>
      <c r="Q60" s="121"/>
      <c r="R60" s="110"/>
    </row>
    <row r="61" spans="1:25" s="244" customFormat="1" ht="23.25" customHeight="1">
      <c r="A61" s="112"/>
      <c r="B61" s="126"/>
      <c r="C61" s="126"/>
      <c r="D61" s="126"/>
      <c r="E61" s="126"/>
      <c r="F61" s="126"/>
      <c r="G61" s="126"/>
      <c r="H61" s="126"/>
      <c r="I61" s="126"/>
      <c r="J61" s="126"/>
      <c r="K61" s="126"/>
      <c r="L61" s="126"/>
      <c r="M61" s="448">
        <v>1</v>
      </c>
      <c r="N61" s="448">
        <v>1</v>
      </c>
      <c r="O61" s="448">
        <v>1</v>
      </c>
      <c r="P61" s="448">
        <v>1</v>
      </c>
      <c r="Q61" s="121"/>
      <c r="R61" s="110"/>
      <c r="S61" s="110"/>
      <c r="T61" s="112"/>
      <c r="U61" s="112"/>
      <c r="V61" s="112"/>
      <c r="W61" s="112"/>
      <c r="X61" s="112"/>
      <c r="Y61" s="112"/>
    </row>
    <row r="62" spans="1:25" s="244" customFormat="1" ht="54" customHeight="1">
      <c r="A62" s="112"/>
      <c r="B62" s="234"/>
      <c r="C62" s="234"/>
      <c r="D62" s="234"/>
      <c r="E62" s="234"/>
      <c r="F62" s="234"/>
      <c r="G62" s="234"/>
      <c r="H62" s="234"/>
      <c r="I62" s="234"/>
      <c r="J62" s="234"/>
      <c r="K62" s="245" t="str">
        <f>K49</f>
        <v>1</v>
      </c>
      <c r="L62" s="245"/>
      <c r="M62" s="246">
        <f>M14*$K$62</f>
        <v>1</v>
      </c>
      <c r="N62" s="246">
        <f>N14*$K$62</f>
        <v>1</v>
      </c>
      <c r="O62" s="246">
        <f>O14*$K$62</f>
        <v>1</v>
      </c>
      <c r="P62" s="246">
        <f>P14*$K$62</f>
        <v>0.5</v>
      </c>
      <c r="Q62" s="239">
        <f>SUM(M62:P62)</f>
        <v>3.5</v>
      </c>
      <c r="R62" s="110"/>
      <c r="S62" s="110"/>
      <c r="T62" s="112"/>
      <c r="U62" s="112"/>
      <c r="V62" s="112"/>
      <c r="W62" s="112"/>
      <c r="X62" s="112"/>
      <c r="Y62" s="112"/>
    </row>
    <row r="63" spans="1:25" ht="27" customHeight="1">
      <c r="A63" s="110"/>
      <c r="B63" s="138"/>
      <c r="C63" s="138"/>
      <c r="D63" s="138"/>
      <c r="E63" s="138"/>
      <c r="F63" s="138"/>
      <c r="G63" s="138"/>
      <c r="H63" s="138"/>
      <c r="I63" s="138"/>
      <c r="J63" s="138"/>
      <c r="K63" s="245" t="str">
        <f>K50</f>
        <v>1</v>
      </c>
      <c r="L63" s="245"/>
      <c r="M63" s="246">
        <f>M22*$K$63</f>
        <v>1</v>
      </c>
      <c r="N63" s="246">
        <f>N22*$K$63</f>
        <v>1</v>
      </c>
      <c r="O63" s="246">
        <f>O22*$K$63</f>
        <v>1</v>
      </c>
      <c r="P63" s="246">
        <f>P22*$K$63</f>
        <v>1</v>
      </c>
      <c r="Q63" s="239">
        <f>SUM(M63:P63)</f>
        <v>4</v>
      </c>
      <c r="R63" s="110"/>
    </row>
    <row r="64" spans="1:25" ht="29.25" customHeight="1">
      <c r="A64" s="110"/>
      <c r="B64" s="138"/>
      <c r="C64" s="138"/>
      <c r="D64" s="138"/>
      <c r="E64" s="138"/>
      <c r="F64" s="138"/>
      <c r="G64" s="138"/>
      <c r="H64" s="138"/>
      <c r="I64" s="138"/>
      <c r="J64" s="138"/>
      <c r="K64" s="245" t="str">
        <f>K51</f>
        <v>1</v>
      </c>
      <c r="L64" s="245"/>
      <c r="M64" s="246">
        <f>M28*$K$64</f>
        <v>1</v>
      </c>
      <c r="N64" s="246">
        <f>N28*$K$64</f>
        <v>1</v>
      </c>
      <c r="O64" s="246">
        <f>O28*$K$64</f>
        <v>1</v>
      </c>
      <c r="P64" s="246">
        <f>P28*$K$64</f>
        <v>1</v>
      </c>
      <c r="Q64" s="239">
        <f>SUM(M64:P64)</f>
        <v>4</v>
      </c>
      <c r="R64" s="110"/>
    </row>
    <row r="65" spans="1:18" ht="24" customHeight="1">
      <c r="A65" s="110"/>
      <c r="B65" s="138"/>
      <c r="C65" s="138"/>
      <c r="D65" s="138"/>
      <c r="E65" s="138"/>
      <c r="F65" s="138"/>
      <c r="G65" s="138"/>
      <c r="H65" s="138"/>
      <c r="I65" s="138"/>
      <c r="J65" s="138"/>
      <c r="K65" s="245">
        <f>K52</f>
        <v>1</v>
      </c>
      <c r="L65" s="234"/>
      <c r="M65" s="246">
        <f>M35</f>
        <v>1</v>
      </c>
      <c r="N65" s="246">
        <f>N35</f>
        <v>1</v>
      </c>
      <c r="O65" s="246">
        <f>O35</f>
        <v>1</v>
      </c>
      <c r="P65" s="246">
        <f>P35</f>
        <v>1</v>
      </c>
      <c r="Q65" s="239">
        <f>SUM(M65:P65)</f>
        <v>4</v>
      </c>
      <c r="R65" s="110"/>
    </row>
    <row r="66" spans="1:18" ht="24" customHeight="1">
      <c r="A66" s="110"/>
      <c r="B66" s="138"/>
      <c r="C66" s="138"/>
      <c r="D66" s="138"/>
      <c r="E66" s="138"/>
      <c r="F66" s="138"/>
      <c r="G66" s="138"/>
      <c r="H66" s="138"/>
      <c r="I66" s="138"/>
      <c r="J66" s="138"/>
      <c r="K66" s="245">
        <f>K53</f>
        <v>1</v>
      </c>
      <c r="L66" s="234"/>
      <c r="M66" s="246">
        <f>M41</f>
        <v>1</v>
      </c>
      <c r="N66" s="246">
        <f>N41</f>
        <v>1</v>
      </c>
      <c r="O66" s="246">
        <f>O41</f>
        <v>1</v>
      </c>
      <c r="P66" s="246">
        <f>P41</f>
        <v>1</v>
      </c>
      <c r="Q66" s="239">
        <f>SUM(M66:P66)</f>
        <v>4</v>
      </c>
      <c r="R66" s="110"/>
    </row>
    <row r="67" spans="1:18" ht="24" customHeight="1">
      <c r="A67" s="110"/>
      <c r="B67" s="241"/>
      <c r="C67" s="241"/>
      <c r="D67" s="241"/>
      <c r="E67" s="241"/>
      <c r="F67" s="241"/>
      <c r="G67" s="241"/>
      <c r="H67" s="241"/>
      <c r="I67" s="241"/>
      <c r="J67" s="241"/>
      <c r="K67" s="241"/>
      <c r="L67" s="241"/>
      <c r="M67" s="242">
        <f>SUM(M62:M66)</f>
        <v>5</v>
      </c>
      <c r="N67" s="242">
        <f>SUM(N62:N66)</f>
        <v>5</v>
      </c>
      <c r="O67" s="242">
        <f>SUM(O62:O66)</f>
        <v>5</v>
      </c>
      <c r="P67" s="242">
        <f>SUM(P62:P66)</f>
        <v>4.5</v>
      </c>
      <c r="Q67" s="243">
        <f>SUM(Q62:Q66)</f>
        <v>19.5</v>
      </c>
      <c r="R67" s="110"/>
    </row>
    <row r="68" spans="1:18" ht="24" customHeight="1">
      <c r="A68" s="110"/>
      <c r="B68" s="110"/>
      <c r="C68" s="110"/>
      <c r="D68" s="110"/>
      <c r="E68" s="110"/>
      <c r="F68" s="110"/>
      <c r="G68" s="110"/>
      <c r="H68" s="110"/>
      <c r="I68" s="110"/>
      <c r="J68" s="110"/>
      <c r="K68" s="110"/>
      <c r="L68" s="110"/>
      <c r="M68" s="111"/>
      <c r="N68" s="111"/>
      <c r="O68" s="111"/>
      <c r="P68" s="111"/>
      <c r="Q68" s="110"/>
      <c r="R68" s="110"/>
    </row>
    <row r="69" spans="1:18" ht="36" customHeight="1">
      <c r="A69" s="110"/>
      <c r="B69" s="110"/>
      <c r="C69" s="110"/>
      <c r="D69" s="110"/>
      <c r="E69" s="110"/>
      <c r="F69" s="110"/>
      <c r="G69" s="110"/>
      <c r="H69" s="110"/>
      <c r="I69" s="110"/>
      <c r="J69" s="110"/>
      <c r="K69" s="110"/>
      <c r="L69" s="110"/>
      <c r="M69" s="111"/>
      <c r="N69" s="111"/>
      <c r="O69" s="111"/>
      <c r="P69" s="111"/>
      <c r="Q69" s="110"/>
      <c r="R69" s="110"/>
    </row>
    <row r="70" spans="1:18" ht="24" customHeight="1">
      <c r="A70" s="110"/>
      <c r="B70" s="110" t="s">
        <v>153</v>
      </c>
      <c r="C70" s="110"/>
      <c r="D70" s="110"/>
      <c r="E70" s="110"/>
      <c r="F70" s="110"/>
      <c r="G70" s="110"/>
      <c r="H70" s="110"/>
      <c r="I70" s="110"/>
      <c r="J70" s="110"/>
      <c r="K70" s="110"/>
      <c r="L70" s="110"/>
      <c r="M70" s="111"/>
      <c r="N70" s="111"/>
      <c r="O70" s="111"/>
      <c r="P70" s="111"/>
      <c r="Q70" s="110"/>
      <c r="R70" s="110"/>
    </row>
    <row r="71" spans="1:18" ht="12" customHeight="1">
      <c r="A71" s="110"/>
      <c r="B71" s="110"/>
      <c r="C71" s="110"/>
      <c r="D71" s="110"/>
      <c r="E71" s="110"/>
      <c r="F71" s="110"/>
      <c r="G71" s="110"/>
      <c r="H71" s="110"/>
      <c r="I71" s="110"/>
      <c r="J71" s="110"/>
      <c r="K71" s="110"/>
      <c r="L71" s="110"/>
      <c r="M71" s="111"/>
      <c r="N71" s="111"/>
      <c r="O71" s="111"/>
      <c r="P71" s="111"/>
      <c r="Q71" s="110"/>
      <c r="R71" s="110"/>
    </row>
    <row r="72" spans="1:18" ht="12" customHeight="1">
      <c r="A72" s="110"/>
      <c r="B72" s="110"/>
      <c r="C72" s="110"/>
      <c r="D72" s="110"/>
      <c r="E72" s="110"/>
      <c r="F72" s="110"/>
      <c r="G72" s="110"/>
      <c r="H72" s="110"/>
      <c r="I72" s="110"/>
      <c r="J72" s="110"/>
      <c r="K72" s="110"/>
      <c r="L72" s="110"/>
      <c r="M72" s="111"/>
      <c r="N72" s="111"/>
      <c r="O72" s="111"/>
      <c r="P72" s="111"/>
      <c r="Q72" s="110"/>
      <c r="R72" s="110"/>
    </row>
    <row r="73" spans="1:18" ht="12" customHeight="1">
      <c r="A73" s="110"/>
      <c r="B73" s="110"/>
      <c r="C73" s="110"/>
      <c r="D73" s="110"/>
      <c r="E73" s="110"/>
      <c r="F73" s="110"/>
      <c r="G73" s="110"/>
      <c r="H73" s="110"/>
      <c r="I73" s="110"/>
      <c r="J73" s="110"/>
      <c r="K73" s="110"/>
      <c r="L73" s="110"/>
      <c r="M73" s="111"/>
      <c r="N73" s="111"/>
      <c r="O73" s="111"/>
      <c r="P73" s="111"/>
      <c r="Q73" s="110"/>
      <c r="R73" s="110"/>
    </row>
    <row r="74" spans="1:18" ht="12" customHeight="1">
      <c r="A74" s="110"/>
    </row>
    <row r="75" spans="1:18" ht="12" customHeight="1">
      <c r="A75" s="110"/>
    </row>
    <row r="76" spans="1:18" ht="12" customHeight="1">
      <c r="A76" s="110"/>
    </row>
    <row r="119" spans="1:18" ht="12" customHeight="1">
      <c r="A119" s="110"/>
      <c r="B119" s="110"/>
      <c r="C119" s="110"/>
      <c r="D119" s="110"/>
      <c r="E119" s="110"/>
      <c r="F119" s="110"/>
      <c r="G119" s="110"/>
      <c r="H119" s="110"/>
      <c r="I119" s="110"/>
      <c r="J119" s="110"/>
      <c r="K119" s="110"/>
      <c r="L119" s="110"/>
      <c r="M119" s="111"/>
      <c r="N119" s="111"/>
      <c r="O119" s="111"/>
      <c r="P119" s="111"/>
      <c r="Q119" s="110"/>
      <c r="R119" s="110"/>
    </row>
    <row r="120" spans="1:18" ht="12" customHeight="1">
      <c r="A120" s="110"/>
      <c r="B120" s="110"/>
      <c r="C120" s="110"/>
      <c r="D120" s="110"/>
      <c r="E120" s="110"/>
      <c r="F120" s="110"/>
      <c r="G120" s="110"/>
      <c r="H120" s="110"/>
      <c r="I120" s="110"/>
      <c r="J120" s="110"/>
      <c r="K120" s="110"/>
      <c r="L120" s="110"/>
      <c r="M120" s="111"/>
      <c r="N120" s="111"/>
      <c r="O120" s="111"/>
      <c r="P120" s="111"/>
      <c r="Q120" s="110"/>
      <c r="R120" s="110"/>
    </row>
    <row r="121" spans="1:18" ht="12" customHeight="1">
      <c r="A121" s="110"/>
      <c r="B121" s="110"/>
      <c r="C121" s="110"/>
      <c r="D121" s="110"/>
      <c r="E121" s="110"/>
      <c r="F121" s="110"/>
      <c r="G121" s="110"/>
      <c r="H121" s="110"/>
      <c r="I121" s="110"/>
      <c r="J121" s="110"/>
      <c r="K121" s="110"/>
      <c r="L121" s="110"/>
      <c r="M121" s="111"/>
      <c r="N121" s="111"/>
      <c r="O121" s="111"/>
      <c r="P121" s="111"/>
      <c r="Q121" s="110"/>
      <c r="R121" s="110"/>
    </row>
    <row r="122" spans="1:18" ht="12" customHeight="1">
      <c r="A122" s="110"/>
      <c r="B122" s="110"/>
      <c r="C122" s="110"/>
      <c r="D122" s="110"/>
      <c r="E122" s="110"/>
      <c r="F122" s="110"/>
      <c r="G122" s="110"/>
      <c r="H122" s="110"/>
      <c r="I122" s="110"/>
      <c r="J122" s="110"/>
      <c r="K122" s="110"/>
      <c r="L122" s="110"/>
      <c r="M122" s="111"/>
      <c r="N122" s="111"/>
      <c r="O122" s="111"/>
      <c r="P122" s="111"/>
      <c r="Q122" s="110"/>
      <c r="R122" s="110"/>
    </row>
    <row r="123" spans="1:18" ht="12" customHeight="1">
      <c r="A123" s="110"/>
      <c r="B123" s="110"/>
      <c r="C123" s="110"/>
      <c r="D123" s="110"/>
      <c r="E123" s="110"/>
      <c r="F123" s="110"/>
      <c r="G123" s="110"/>
      <c r="H123" s="110"/>
      <c r="I123" s="110"/>
      <c r="J123" s="110"/>
      <c r="K123" s="110"/>
      <c r="L123" s="110"/>
      <c r="M123" s="111"/>
      <c r="N123" s="111"/>
      <c r="O123" s="111"/>
      <c r="P123" s="111"/>
      <c r="Q123" s="110"/>
      <c r="R123" s="110"/>
    </row>
    <row r="124" spans="1:18" ht="12" customHeight="1">
      <c r="A124" s="110"/>
      <c r="B124" s="110"/>
      <c r="C124" s="110"/>
      <c r="D124" s="110"/>
      <c r="E124" s="110"/>
      <c r="F124" s="110"/>
      <c r="G124" s="110"/>
      <c r="H124" s="110"/>
      <c r="I124" s="110"/>
      <c r="J124" s="110"/>
      <c r="K124" s="110"/>
      <c r="L124" s="110"/>
      <c r="M124" s="111"/>
      <c r="N124" s="111"/>
      <c r="O124" s="111"/>
      <c r="P124" s="111"/>
      <c r="Q124" s="110"/>
      <c r="R124" s="110"/>
    </row>
    <row r="125" spans="1:18" ht="12" customHeight="1">
      <c r="A125" s="110"/>
      <c r="B125" s="110"/>
      <c r="C125" s="110"/>
      <c r="D125" s="110"/>
      <c r="E125" s="110"/>
      <c r="F125" s="110"/>
      <c r="G125" s="110"/>
      <c r="H125" s="110"/>
      <c r="I125" s="110"/>
      <c r="J125" s="110"/>
      <c r="K125" s="110"/>
      <c r="L125" s="110"/>
      <c r="M125" s="111"/>
      <c r="N125" s="111"/>
      <c r="O125" s="111"/>
      <c r="P125" s="111"/>
      <c r="Q125" s="110"/>
      <c r="R125" s="110"/>
    </row>
    <row r="126" spans="1:18" ht="12" customHeight="1">
      <c r="A126" s="110"/>
      <c r="B126" s="110"/>
      <c r="C126" s="110"/>
      <c r="D126" s="110"/>
      <c r="E126" s="110"/>
      <c r="F126" s="110"/>
      <c r="G126" s="110"/>
      <c r="H126" s="110"/>
      <c r="I126" s="110"/>
      <c r="J126" s="110"/>
      <c r="K126" s="110"/>
      <c r="L126" s="110"/>
      <c r="M126" s="111"/>
      <c r="N126" s="111"/>
      <c r="O126" s="111"/>
      <c r="P126" s="111"/>
      <c r="Q126" s="110"/>
      <c r="R126" s="110"/>
    </row>
    <row r="127" spans="1:18" ht="12" customHeight="1">
      <c r="A127" s="110"/>
      <c r="B127" s="110"/>
      <c r="C127" s="110"/>
      <c r="D127" s="110"/>
      <c r="E127" s="110"/>
      <c r="F127" s="110"/>
      <c r="G127" s="110"/>
      <c r="H127" s="110"/>
      <c r="I127" s="110"/>
      <c r="J127" s="110"/>
      <c r="K127" s="110"/>
      <c r="L127" s="110"/>
      <c r="M127" s="111"/>
      <c r="N127" s="111"/>
      <c r="O127" s="111"/>
      <c r="P127" s="111"/>
      <c r="Q127" s="110"/>
      <c r="R127" s="110"/>
    </row>
    <row r="128" spans="1:18" ht="12" customHeight="1">
      <c r="A128" s="110"/>
      <c r="B128" s="110"/>
      <c r="C128" s="110"/>
      <c r="D128" s="110"/>
      <c r="E128" s="110"/>
      <c r="F128" s="110"/>
      <c r="G128" s="110"/>
      <c r="H128" s="110"/>
      <c r="I128" s="110"/>
      <c r="J128" s="110"/>
      <c r="K128" s="110"/>
      <c r="L128" s="110"/>
      <c r="M128" s="111"/>
      <c r="N128" s="111"/>
      <c r="O128" s="111"/>
      <c r="P128" s="111"/>
      <c r="Q128" s="110"/>
      <c r="R128" s="110"/>
    </row>
    <row r="129" spans="1:18" ht="12" customHeight="1">
      <c r="A129" s="110"/>
      <c r="B129" s="110"/>
      <c r="C129" s="110"/>
      <c r="D129" s="110"/>
      <c r="E129" s="110"/>
      <c r="F129" s="110"/>
      <c r="G129" s="110"/>
      <c r="H129" s="110"/>
      <c r="I129" s="110"/>
      <c r="J129" s="110"/>
      <c r="K129" s="110"/>
      <c r="L129" s="110"/>
      <c r="M129" s="111"/>
      <c r="N129" s="111"/>
      <c r="O129" s="111"/>
      <c r="P129" s="111"/>
      <c r="Q129" s="110"/>
      <c r="R129" s="110"/>
    </row>
    <row r="130" spans="1:18" ht="12" customHeight="1">
      <c r="A130" s="110"/>
      <c r="B130" s="110"/>
      <c r="C130" s="110"/>
      <c r="D130" s="110"/>
      <c r="E130" s="110"/>
      <c r="F130" s="110"/>
      <c r="G130" s="110"/>
      <c r="H130" s="110"/>
      <c r="I130" s="110"/>
      <c r="J130" s="110"/>
      <c r="K130" s="110"/>
      <c r="L130" s="110"/>
      <c r="M130" s="111"/>
      <c r="N130" s="111"/>
      <c r="O130" s="111"/>
      <c r="P130" s="111"/>
      <c r="Q130" s="110"/>
      <c r="R130" s="110"/>
    </row>
    <row r="131" spans="1:18" ht="12" customHeight="1">
      <c r="A131" s="110"/>
      <c r="B131" s="110"/>
      <c r="C131" s="110"/>
      <c r="D131" s="110"/>
      <c r="E131" s="110"/>
      <c r="F131" s="110"/>
      <c r="G131" s="110"/>
      <c r="H131" s="110"/>
      <c r="I131" s="110"/>
      <c r="J131" s="110"/>
      <c r="K131" s="110"/>
      <c r="L131" s="110"/>
      <c r="M131" s="111"/>
      <c r="N131" s="111"/>
      <c r="O131" s="111"/>
      <c r="P131" s="111"/>
      <c r="Q131" s="110"/>
      <c r="R131" s="110"/>
    </row>
    <row r="132" spans="1:18" ht="12" customHeight="1">
      <c r="A132" s="110"/>
      <c r="B132" s="110"/>
      <c r="C132" s="110"/>
      <c r="D132" s="110"/>
      <c r="E132" s="110"/>
      <c r="F132" s="110"/>
      <c r="G132" s="110"/>
      <c r="H132" s="110"/>
      <c r="I132" s="110"/>
      <c r="J132" s="110"/>
      <c r="K132" s="110"/>
      <c r="L132" s="110"/>
      <c r="M132" s="111"/>
      <c r="N132" s="111"/>
      <c r="O132" s="111"/>
      <c r="P132" s="111"/>
      <c r="Q132" s="110"/>
      <c r="R132" s="110"/>
    </row>
    <row r="133" spans="1:18" ht="12" customHeight="1">
      <c r="A133" s="110"/>
      <c r="B133" s="110"/>
      <c r="C133" s="110"/>
      <c r="D133" s="110"/>
      <c r="E133" s="110"/>
      <c r="F133" s="110"/>
      <c r="G133" s="110"/>
      <c r="H133" s="110"/>
      <c r="I133" s="110"/>
      <c r="J133" s="110"/>
      <c r="K133" s="110"/>
      <c r="L133" s="110"/>
      <c r="M133" s="111"/>
      <c r="N133" s="111"/>
      <c r="O133" s="111"/>
      <c r="P133" s="111"/>
      <c r="Q133" s="110"/>
      <c r="R133" s="110"/>
    </row>
    <row r="134" spans="1:18" ht="12" customHeight="1">
      <c r="A134" s="110"/>
      <c r="B134" s="110"/>
      <c r="C134" s="110"/>
      <c r="D134" s="110"/>
      <c r="E134" s="110"/>
      <c r="F134" s="110"/>
      <c r="G134" s="110"/>
      <c r="H134" s="110"/>
      <c r="I134" s="110"/>
      <c r="J134" s="110"/>
      <c r="K134" s="110"/>
      <c r="L134" s="110"/>
      <c r="M134" s="111"/>
      <c r="N134" s="111"/>
      <c r="O134" s="111"/>
      <c r="P134" s="111"/>
      <c r="Q134" s="110"/>
      <c r="R134" s="110"/>
    </row>
    <row r="135" spans="1:18" ht="12" customHeight="1">
      <c r="A135" s="110"/>
      <c r="B135" s="110"/>
      <c r="C135" s="110"/>
      <c r="D135" s="110"/>
      <c r="E135" s="110"/>
      <c r="F135" s="110"/>
      <c r="G135" s="110"/>
      <c r="H135" s="110"/>
      <c r="I135" s="110"/>
      <c r="J135" s="110"/>
      <c r="K135" s="110"/>
      <c r="L135" s="110"/>
      <c r="M135" s="111"/>
      <c r="N135" s="111"/>
      <c r="O135" s="111"/>
      <c r="P135" s="111"/>
      <c r="Q135" s="110"/>
      <c r="R135" s="110"/>
    </row>
    <row r="136" spans="1:18" ht="12" customHeight="1">
      <c r="A136" s="247"/>
      <c r="B136" s="110"/>
      <c r="C136" s="110"/>
      <c r="D136" s="110"/>
      <c r="E136" s="110"/>
      <c r="F136" s="110"/>
      <c r="G136" s="110"/>
      <c r="H136" s="110"/>
      <c r="I136" s="110"/>
      <c r="J136" s="110"/>
      <c r="K136" s="110"/>
      <c r="L136" s="110"/>
      <c r="M136" s="111"/>
      <c r="N136" s="111"/>
      <c r="O136" s="111"/>
      <c r="P136" s="111"/>
      <c r="Q136" s="110"/>
      <c r="R136" s="110"/>
    </row>
    <row r="137" spans="1:18" ht="12" customHeight="1">
      <c r="A137" s="247"/>
      <c r="B137" s="110"/>
      <c r="C137" s="110"/>
      <c r="D137" s="110"/>
      <c r="E137" s="110"/>
      <c r="F137" s="110"/>
      <c r="G137" s="110"/>
      <c r="H137" s="110"/>
      <c r="I137" s="110"/>
      <c r="J137" s="110"/>
      <c r="K137" s="110"/>
      <c r="L137" s="110"/>
      <c r="M137" s="111"/>
      <c r="N137" s="111"/>
      <c r="O137" s="111"/>
      <c r="P137" s="111"/>
      <c r="Q137" s="110"/>
      <c r="R137" s="110"/>
    </row>
    <row r="138" spans="1:18" ht="12" customHeight="1">
      <c r="A138" s="247"/>
      <c r="B138" s="110"/>
      <c r="C138" s="110"/>
      <c r="D138" s="110"/>
      <c r="E138" s="110"/>
      <c r="F138" s="110"/>
      <c r="G138" s="110"/>
      <c r="H138" s="110"/>
      <c r="I138" s="110"/>
      <c r="J138" s="110"/>
      <c r="K138" s="110"/>
      <c r="L138" s="110"/>
      <c r="M138" s="111"/>
      <c r="N138" s="111"/>
      <c r="O138" s="111"/>
      <c r="P138" s="111"/>
      <c r="Q138" s="110"/>
      <c r="R138" s="110"/>
    </row>
    <row r="139" spans="1:18" ht="12" customHeight="1">
      <c r="A139" s="110"/>
      <c r="B139" s="110"/>
      <c r="C139" s="110"/>
      <c r="D139" s="110"/>
      <c r="E139" s="110"/>
      <c r="F139" s="110"/>
      <c r="G139" s="110"/>
      <c r="H139" s="110"/>
      <c r="I139" s="110"/>
      <c r="J139" s="110"/>
      <c r="K139" s="110"/>
      <c r="L139" s="110"/>
      <c r="M139" s="111"/>
      <c r="N139" s="111"/>
      <c r="O139" s="111"/>
      <c r="P139" s="111"/>
      <c r="Q139" s="110"/>
      <c r="R139" s="110"/>
    </row>
    <row r="140" spans="1:18" ht="12" customHeight="1">
      <c r="A140" s="110"/>
      <c r="B140" s="110"/>
      <c r="C140" s="110"/>
      <c r="D140" s="110"/>
      <c r="E140" s="110"/>
      <c r="F140" s="110"/>
      <c r="G140" s="110"/>
      <c r="H140" s="110"/>
      <c r="I140" s="110"/>
      <c r="J140" s="110"/>
      <c r="K140" s="110"/>
      <c r="L140" s="110"/>
      <c r="M140" s="111"/>
      <c r="N140" s="111"/>
      <c r="O140" s="111"/>
      <c r="P140" s="111"/>
      <c r="Q140" s="110"/>
      <c r="R140" s="110"/>
    </row>
    <row r="141" spans="1:18" ht="12" customHeight="1">
      <c r="A141" s="110"/>
      <c r="B141" s="110"/>
      <c r="C141" s="110"/>
      <c r="D141" s="110"/>
      <c r="E141" s="110"/>
      <c r="F141" s="110"/>
      <c r="G141" s="110"/>
      <c r="H141" s="110"/>
      <c r="I141" s="110"/>
      <c r="J141" s="110"/>
      <c r="K141" s="110"/>
      <c r="L141" s="110"/>
      <c r="M141" s="111"/>
      <c r="N141" s="111"/>
      <c r="O141" s="111"/>
      <c r="P141" s="111"/>
      <c r="Q141" s="110"/>
      <c r="R141" s="110"/>
    </row>
    <row r="142" spans="1:18" ht="12" customHeight="1">
      <c r="A142" s="110"/>
      <c r="B142" s="110"/>
      <c r="C142" s="110"/>
      <c r="D142" s="110"/>
      <c r="E142" s="110"/>
      <c r="F142" s="110"/>
      <c r="G142" s="110"/>
      <c r="H142" s="110"/>
      <c r="I142" s="110"/>
      <c r="J142" s="110"/>
      <c r="K142" s="110"/>
      <c r="L142" s="110"/>
      <c r="M142" s="111"/>
      <c r="N142" s="111"/>
      <c r="O142" s="111"/>
      <c r="P142" s="111"/>
      <c r="Q142" s="110"/>
      <c r="R142" s="110"/>
    </row>
    <row r="143" spans="1:18" ht="12" customHeight="1">
      <c r="A143" s="110"/>
      <c r="B143" s="110"/>
      <c r="C143" s="110"/>
      <c r="D143" s="110"/>
      <c r="E143" s="110"/>
      <c r="F143" s="110"/>
      <c r="G143" s="110"/>
      <c r="H143" s="110"/>
      <c r="I143" s="110"/>
      <c r="J143" s="110"/>
      <c r="K143" s="110"/>
      <c r="L143" s="110"/>
      <c r="M143" s="111"/>
      <c r="N143" s="111"/>
      <c r="O143" s="111"/>
      <c r="P143" s="111"/>
      <c r="Q143" s="110"/>
      <c r="R143" s="110"/>
    </row>
    <row r="144" spans="1:18" ht="12" customHeight="1">
      <c r="A144" s="110"/>
      <c r="B144" s="110"/>
      <c r="C144" s="110"/>
      <c r="D144" s="110"/>
      <c r="E144" s="110"/>
      <c r="F144" s="110"/>
      <c r="G144" s="110"/>
      <c r="H144" s="110"/>
      <c r="I144" s="110"/>
      <c r="J144" s="110"/>
      <c r="K144" s="110"/>
      <c r="L144" s="110"/>
      <c r="M144" s="111"/>
      <c r="N144" s="111"/>
      <c r="O144" s="111"/>
      <c r="P144" s="111"/>
      <c r="Q144" s="110"/>
      <c r="R144" s="110"/>
    </row>
    <row r="145" spans="1:18" ht="12" customHeight="1">
      <c r="A145" s="110"/>
      <c r="B145" s="110"/>
      <c r="C145" s="110"/>
      <c r="D145" s="110"/>
      <c r="E145" s="110"/>
      <c r="F145" s="110"/>
      <c r="G145" s="110"/>
      <c r="H145" s="110"/>
      <c r="I145" s="110"/>
      <c r="J145" s="110"/>
      <c r="K145" s="110"/>
      <c r="L145" s="110"/>
      <c r="M145" s="111"/>
      <c r="N145" s="111"/>
      <c r="O145" s="111"/>
      <c r="P145" s="111"/>
      <c r="Q145" s="110"/>
      <c r="R145" s="110"/>
    </row>
    <row r="146" spans="1:18" ht="12" customHeight="1">
      <c r="A146" s="110"/>
      <c r="B146" s="110"/>
      <c r="C146" s="110"/>
      <c r="D146" s="110"/>
      <c r="E146" s="110"/>
      <c r="F146" s="110"/>
      <c r="G146" s="110"/>
      <c r="H146" s="110"/>
      <c r="I146" s="110"/>
      <c r="J146" s="110"/>
      <c r="K146" s="110"/>
      <c r="L146" s="110"/>
      <c r="M146" s="111"/>
      <c r="N146" s="111"/>
      <c r="O146" s="111"/>
      <c r="P146" s="111"/>
      <c r="Q146" s="110"/>
      <c r="R146" s="110"/>
    </row>
    <row r="147" spans="1:18" ht="12" customHeight="1">
      <c r="A147" s="110"/>
      <c r="B147" s="110"/>
      <c r="C147" s="110"/>
      <c r="D147" s="110"/>
      <c r="E147" s="110"/>
      <c r="F147" s="110"/>
      <c r="G147" s="110"/>
      <c r="H147" s="110"/>
      <c r="I147" s="110"/>
      <c r="J147" s="110"/>
      <c r="K147" s="110"/>
      <c r="L147" s="110"/>
      <c r="M147" s="111"/>
      <c r="N147" s="111"/>
      <c r="O147" s="111"/>
      <c r="P147" s="111"/>
      <c r="Q147" s="110"/>
      <c r="R147" s="110"/>
    </row>
    <row r="148" spans="1:18" ht="12" customHeight="1">
      <c r="A148" s="110"/>
      <c r="B148" s="110"/>
      <c r="C148" s="110"/>
      <c r="D148" s="110"/>
      <c r="E148" s="110"/>
      <c r="F148" s="110"/>
      <c r="G148" s="110"/>
      <c r="H148" s="110"/>
      <c r="I148" s="110"/>
      <c r="J148" s="110"/>
      <c r="K148" s="110"/>
      <c r="L148" s="110"/>
      <c r="M148" s="111"/>
      <c r="N148" s="111"/>
      <c r="O148" s="111"/>
      <c r="P148" s="111"/>
      <c r="Q148" s="110"/>
      <c r="R148" s="110"/>
    </row>
    <row r="149" spans="1:18" ht="12" customHeight="1">
      <c r="A149" s="110"/>
      <c r="B149" s="110"/>
      <c r="C149" s="110"/>
      <c r="D149" s="110"/>
      <c r="E149" s="110"/>
      <c r="F149" s="110"/>
      <c r="G149" s="110"/>
      <c r="H149" s="110"/>
      <c r="I149" s="110"/>
      <c r="J149" s="110"/>
      <c r="K149" s="110"/>
      <c r="L149" s="110"/>
      <c r="M149" s="111"/>
      <c r="N149" s="111"/>
      <c r="O149" s="111"/>
      <c r="P149" s="111"/>
      <c r="Q149" s="110"/>
      <c r="R149" s="110"/>
    </row>
    <row r="150" spans="1:18" ht="12" customHeight="1">
      <c r="A150" s="110"/>
      <c r="B150" s="110"/>
      <c r="C150" s="110"/>
      <c r="D150" s="110"/>
      <c r="E150" s="110"/>
      <c r="F150" s="110"/>
      <c r="G150" s="110"/>
      <c r="H150" s="110"/>
      <c r="I150" s="110"/>
      <c r="J150" s="110"/>
      <c r="K150" s="110"/>
      <c r="L150" s="110"/>
      <c r="M150" s="111"/>
      <c r="N150" s="111"/>
      <c r="O150" s="111"/>
      <c r="P150" s="111"/>
      <c r="Q150" s="110"/>
      <c r="R150" s="110"/>
    </row>
    <row r="151" spans="1:18" ht="12" customHeight="1">
      <c r="A151" s="110"/>
      <c r="B151" s="110"/>
      <c r="C151" s="110"/>
      <c r="D151" s="110"/>
      <c r="E151" s="110"/>
      <c r="F151" s="110"/>
      <c r="G151" s="110"/>
      <c r="H151" s="110"/>
      <c r="I151" s="110"/>
      <c r="J151" s="110"/>
      <c r="K151" s="110"/>
      <c r="L151" s="110"/>
      <c r="M151" s="111"/>
      <c r="N151" s="111"/>
      <c r="O151" s="111"/>
      <c r="P151" s="111"/>
      <c r="Q151" s="110"/>
      <c r="R151" s="110"/>
    </row>
    <row r="152" spans="1:18" ht="12" customHeight="1">
      <c r="A152" s="110"/>
      <c r="B152" s="110"/>
      <c r="C152" s="110"/>
      <c r="D152" s="110"/>
      <c r="E152" s="110"/>
      <c r="F152" s="110"/>
      <c r="G152" s="110"/>
      <c r="H152" s="110"/>
      <c r="I152" s="110"/>
      <c r="J152" s="110"/>
      <c r="K152" s="110"/>
      <c r="L152" s="110"/>
      <c r="M152" s="111"/>
      <c r="N152" s="111"/>
      <c r="O152" s="111"/>
      <c r="P152" s="111"/>
      <c r="Q152" s="110"/>
      <c r="R152" s="110"/>
    </row>
    <row r="153" spans="1:18" ht="12" customHeight="1">
      <c r="A153" s="110"/>
      <c r="B153" s="110"/>
      <c r="C153" s="110"/>
      <c r="D153" s="110"/>
      <c r="E153" s="110"/>
      <c r="F153" s="110"/>
      <c r="G153" s="110"/>
      <c r="H153" s="110"/>
      <c r="I153" s="110"/>
      <c r="J153" s="110"/>
      <c r="K153" s="110"/>
      <c r="L153" s="110"/>
      <c r="M153" s="111"/>
      <c r="N153" s="111"/>
      <c r="O153" s="111"/>
      <c r="P153" s="111"/>
      <c r="Q153" s="110"/>
      <c r="R153" s="110"/>
    </row>
    <row r="154" spans="1:18" ht="12" customHeight="1">
      <c r="A154" s="110"/>
      <c r="B154" s="110"/>
      <c r="C154" s="110"/>
      <c r="D154" s="110"/>
      <c r="E154" s="110"/>
      <c r="F154" s="110"/>
      <c r="G154" s="110"/>
      <c r="H154" s="110"/>
      <c r="I154" s="110"/>
      <c r="J154" s="110"/>
      <c r="K154" s="110"/>
      <c r="L154" s="110"/>
      <c r="M154" s="111"/>
      <c r="N154" s="111"/>
      <c r="O154" s="111"/>
      <c r="P154" s="111"/>
      <c r="Q154" s="110"/>
      <c r="R154" s="110"/>
    </row>
    <row r="155" spans="1:18" ht="12" customHeight="1">
      <c r="A155" s="110"/>
      <c r="B155" s="110"/>
      <c r="C155" s="110"/>
      <c r="D155" s="110"/>
      <c r="E155" s="110"/>
      <c r="F155" s="110"/>
      <c r="G155" s="110"/>
      <c r="H155" s="110"/>
      <c r="I155" s="110"/>
      <c r="J155" s="110"/>
      <c r="K155" s="110"/>
      <c r="L155" s="110"/>
      <c r="M155" s="111"/>
      <c r="N155" s="111"/>
      <c r="O155" s="111"/>
      <c r="P155" s="111"/>
      <c r="Q155" s="110"/>
      <c r="R155" s="110"/>
    </row>
    <row r="156" spans="1:18" ht="12" customHeight="1">
      <c r="A156" s="110"/>
      <c r="B156" s="110"/>
      <c r="C156" s="110"/>
      <c r="D156" s="110"/>
      <c r="E156" s="110"/>
      <c r="F156" s="110"/>
      <c r="G156" s="110"/>
      <c r="H156" s="110"/>
      <c r="I156" s="110"/>
      <c r="J156" s="110"/>
      <c r="K156" s="110"/>
      <c r="L156" s="110"/>
      <c r="M156" s="111"/>
      <c r="N156" s="111"/>
      <c r="O156" s="111"/>
      <c r="P156" s="111"/>
      <c r="Q156" s="110"/>
      <c r="R156" s="110"/>
    </row>
    <row r="157" spans="1:18" ht="12" customHeight="1">
      <c r="A157" s="110"/>
      <c r="B157" s="110"/>
      <c r="C157" s="110"/>
      <c r="D157" s="110"/>
      <c r="E157" s="110"/>
      <c r="F157" s="110"/>
      <c r="G157" s="110"/>
      <c r="H157" s="110"/>
      <c r="I157" s="110"/>
      <c r="J157" s="110"/>
      <c r="K157" s="110"/>
      <c r="L157" s="110"/>
      <c r="M157" s="111"/>
      <c r="N157" s="111"/>
      <c r="O157" s="111"/>
      <c r="P157" s="111"/>
      <c r="Q157" s="110"/>
      <c r="R157" s="110"/>
    </row>
    <row r="158" spans="1:18" ht="12" customHeight="1">
      <c r="A158" s="110"/>
      <c r="B158" s="110"/>
      <c r="C158" s="110"/>
      <c r="D158" s="110"/>
      <c r="E158" s="110"/>
      <c r="F158" s="110"/>
      <c r="G158" s="110"/>
      <c r="H158" s="110"/>
      <c r="I158" s="110"/>
      <c r="J158" s="110"/>
      <c r="K158" s="110"/>
      <c r="L158" s="110"/>
      <c r="M158" s="111"/>
      <c r="N158" s="111"/>
      <c r="O158" s="111"/>
      <c r="P158" s="111"/>
      <c r="Q158" s="110"/>
      <c r="R158" s="110"/>
    </row>
    <row r="159" spans="1:18" ht="12" customHeight="1">
      <c r="A159" s="110"/>
      <c r="B159" s="110"/>
      <c r="C159" s="110"/>
      <c r="D159" s="110"/>
      <c r="E159" s="110"/>
      <c r="F159" s="110"/>
      <c r="G159" s="110"/>
      <c r="H159" s="110"/>
      <c r="I159" s="110"/>
      <c r="J159" s="110"/>
      <c r="K159" s="110"/>
      <c r="L159" s="110"/>
      <c r="M159" s="111"/>
      <c r="N159" s="111"/>
      <c r="O159" s="111"/>
      <c r="P159" s="111"/>
      <c r="Q159" s="110"/>
      <c r="R159" s="110"/>
    </row>
    <row r="160" spans="1:18" ht="12" customHeight="1">
      <c r="A160" s="110"/>
      <c r="B160" s="110"/>
      <c r="C160" s="110"/>
      <c r="D160" s="110"/>
      <c r="E160" s="110"/>
      <c r="F160" s="110"/>
      <c r="G160" s="110"/>
      <c r="H160" s="110"/>
      <c r="I160" s="110"/>
      <c r="J160" s="110"/>
      <c r="K160" s="110"/>
      <c r="L160" s="110"/>
      <c r="M160" s="111"/>
      <c r="N160" s="111"/>
      <c r="O160" s="111"/>
      <c r="P160" s="111"/>
      <c r="Q160" s="110"/>
      <c r="R160" s="110"/>
    </row>
    <row r="161" spans="1:18" ht="12" customHeight="1">
      <c r="A161" s="110"/>
      <c r="B161" s="110"/>
      <c r="C161" s="110"/>
      <c r="D161" s="110"/>
      <c r="E161" s="110"/>
      <c r="F161" s="110"/>
      <c r="G161" s="110"/>
      <c r="H161" s="110"/>
      <c r="I161" s="110"/>
      <c r="J161" s="110"/>
      <c r="K161" s="110"/>
      <c r="L161" s="110"/>
      <c r="M161" s="111"/>
      <c r="N161" s="111"/>
      <c r="O161" s="111"/>
      <c r="P161" s="111"/>
      <c r="Q161" s="110"/>
      <c r="R161" s="110"/>
    </row>
    <row r="162" spans="1:18" ht="12" customHeight="1">
      <c r="A162" s="110"/>
      <c r="B162" s="110"/>
      <c r="C162" s="110"/>
      <c r="D162" s="110"/>
      <c r="E162" s="110"/>
      <c r="F162" s="110"/>
      <c r="G162" s="110"/>
      <c r="H162" s="110"/>
      <c r="I162" s="110"/>
      <c r="J162" s="110"/>
      <c r="K162" s="110"/>
      <c r="L162" s="110"/>
      <c r="M162" s="111"/>
      <c r="N162" s="111"/>
      <c r="O162" s="111"/>
      <c r="P162" s="111"/>
      <c r="Q162" s="110"/>
      <c r="R162" s="110"/>
    </row>
    <row r="163" spans="1:18" ht="12" customHeight="1">
      <c r="A163" s="110"/>
      <c r="B163" s="110"/>
      <c r="C163" s="110"/>
      <c r="D163" s="110"/>
      <c r="E163" s="110"/>
      <c r="F163" s="110"/>
      <c r="G163" s="110"/>
      <c r="H163" s="110"/>
      <c r="I163" s="110"/>
      <c r="J163" s="110"/>
      <c r="K163" s="110"/>
      <c r="L163" s="110"/>
      <c r="M163" s="111"/>
      <c r="N163" s="111"/>
      <c r="O163" s="111"/>
      <c r="P163" s="111"/>
      <c r="Q163" s="110"/>
      <c r="R163" s="110"/>
    </row>
  </sheetData>
  <sheetProtection algorithmName="SHA-512" hashValue="6aucruOjZQRT7oNTo1XS/jv1fkHFlT7cJeNWzVMBgR6dPEGBu6QU4pXoO1E1XwFzDRgrG1bk+s0tdVOKeEafpw==" saltValue="9KhR7Dn5Fz/02kUNzHNncQ==" spinCount="100000" sheet="1" selectLockedCells="1" selectUnlockedCells="1"/>
  <mergeCells count="67">
    <mergeCell ref="K51:L51"/>
    <mergeCell ref="K52:L52"/>
    <mergeCell ref="K53:L53"/>
    <mergeCell ref="B58:Q58"/>
    <mergeCell ref="M45:M46"/>
    <mergeCell ref="N45:N46"/>
    <mergeCell ref="O45:O46"/>
    <mergeCell ref="P45:P46"/>
    <mergeCell ref="K49:L49"/>
    <mergeCell ref="K50:L50"/>
    <mergeCell ref="N32:N33"/>
    <mergeCell ref="O32:O33"/>
    <mergeCell ref="P32:P33"/>
    <mergeCell ref="J38:J42"/>
    <mergeCell ref="K38:K42"/>
    <mergeCell ref="L38:L42"/>
    <mergeCell ref="M38:M39"/>
    <mergeCell ref="N38:N39"/>
    <mergeCell ref="O38:O39"/>
    <mergeCell ref="P38:P39"/>
    <mergeCell ref="F32:H32"/>
    <mergeCell ref="J32:J37"/>
    <mergeCell ref="K32:K37"/>
    <mergeCell ref="L32:L37"/>
    <mergeCell ref="M32:M33"/>
    <mergeCell ref="N25:N26"/>
    <mergeCell ref="O25:O26"/>
    <mergeCell ref="P25:P26"/>
    <mergeCell ref="F26:H26"/>
    <mergeCell ref="F30:H30"/>
    <mergeCell ref="F25:H25"/>
    <mergeCell ref="J25:J31"/>
    <mergeCell ref="K25:K31"/>
    <mergeCell ref="L25:L31"/>
    <mergeCell ref="M25:M26"/>
    <mergeCell ref="F31:H31"/>
    <mergeCell ref="N19:N20"/>
    <mergeCell ref="O19:O20"/>
    <mergeCell ref="P19:P20"/>
    <mergeCell ref="F20:H20"/>
    <mergeCell ref="F21:H21"/>
    <mergeCell ref="F19:H19"/>
    <mergeCell ref="J19:J24"/>
    <mergeCell ref="K19:K24"/>
    <mergeCell ref="L19:L24"/>
    <mergeCell ref="M19:M20"/>
    <mergeCell ref="G22:H22"/>
    <mergeCell ref="G23:H23"/>
    <mergeCell ref="M10:M11"/>
    <mergeCell ref="N10:N11"/>
    <mergeCell ref="O10:O11"/>
    <mergeCell ref="P10:P11"/>
    <mergeCell ref="F11:I11"/>
    <mergeCell ref="B10:B14"/>
    <mergeCell ref="F10:H10"/>
    <mergeCell ref="J10:J18"/>
    <mergeCell ref="K10:K18"/>
    <mergeCell ref="L10:L18"/>
    <mergeCell ref="M4:M8"/>
    <mergeCell ref="N4:N8"/>
    <mergeCell ref="O4:O8"/>
    <mergeCell ref="P4:P8"/>
    <mergeCell ref="F7:G7"/>
    <mergeCell ref="H7:I7"/>
    <mergeCell ref="F8:J8"/>
    <mergeCell ref="E4:J6"/>
    <mergeCell ref="K4:L7"/>
  </mergeCells>
  <pageMargins left="0.7" right="0.7" top="0.78749999999999998" bottom="0.78749999999999998" header="0.51180555555555551" footer="0.51180555555555551"/>
  <pageSetup paperSize="9"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R17"/>
  <sheetViews>
    <sheetView showGridLines="0" topLeftCell="A5" zoomScale="75" zoomScaleNormal="75" workbookViewId="0">
      <selection activeCell="B20" sqref="B20"/>
    </sheetView>
  </sheetViews>
  <sheetFormatPr baseColWidth="10" defaultColWidth="10.7109375" defaultRowHeight="12.75" customHeight="1"/>
  <cols>
    <col min="1" max="1" width="2.7109375" style="248" customWidth="1"/>
    <col min="2" max="2" width="22.28515625" style="248" customWidth="1"/>
    <col min="3" max="3" width="4" style="248" customWidth="1"/>
    <col min="4" max="4" width="3" style="248" customWidth="1"/>
    <col min="5" max="5" width="4" style="248" customWidth="1"/>
    <col min="6" max="6" width="16.28515625" style="248" customWidth="1"/>
    <col min="7" max="7" width="4" style="248" customWidth="1"/>
    <col min="8" max="8" width="3" style="248" customWidth="1"/>
    <col min="9" max="9" width="4" style="248" customWidth="1"/>
    <col min="10" max="10" width="17.7109375" style="248" customWidth="1"/>
    <col min="11" max="11" width="4" style="248" customWidth="1"/>
    <col min="12" max="12" width="3" style="248" customWidth="1"/>
    <col min="13" max="13" width="7.28515625" style="248" customWidth="1"/>
    <col min="14" max="14" width="21.28515625" style="248" customWidth="1"/>
    <col min="15" max="15" width="4" style="248" customWidth="1"/>
    <col min="16" max="16" width="3" style="248" customWidth="1"/>
    <col min="17" max="17" width="4" style="248" customWidth="1"/>
    <col min="18" max="18" width="21" style="248" customWidth="1"/>
    <col min="19" max="16384" width="10.7109375" style="248"/>
  </cols>
  <sheetData>
    <row r="1" spans="1:18" ht="12.75" customHeight="1">
      <c r="A1" s="9"/>
      <c r="B1" s="9"/>
      <c r="C1" s="9"/>
      <c r="D1" s="9"/>
      <c r="E1" s="9"/>
      <c r="F1" s="9"/>
      <c r="G1" s="9"/>
      <c r="H1" s="9"/>
      <c r="I1" s="9"/>
      <c r="J1" s="9"/>
      <c r="K1" s="9"/>
      <c r="L1" s="9"/>
      <c r="M1" s="9"/>
      <c r="N1" s="9"/>
      <c r="O1" s="9"/>
      <c r="P1" s="9"/>
      <c r="Q1" s="9"/>
      <c r="R1" s="9"/>
    </row>
    <row r="2" spans="1:18" ht="12.75" customHeight="1">
      <c r="A2" s="9"/>
      <c r="B2" s="16" t="str">
        <f>'12.lan'!D91&amp;" - "&amp;'0. Intro'!B3&amp;" "&amp;'0. Intro'!C3</f>
        <v>Gemeinwohl-Bilanz-Rechner - Version 5.02</v>
      </c>
      <c r="C2" s="249"/>
      <c r="D2" s="249"/>
      <c r="E2" s="249"/>
      <c r="F2" s="249"/>
      <c r="G2" s="250"/>
      <c r="H2" s="251"/>
      <c r="I2" s="610" t="str">
        <f>'12.lan'!D212</f>
        <v>Anmerkung: Dies ist kein Testat.</v>
      </c>
      <c r="J2" s="610"/>
      <c r="K2" s="610"/>
      <c r="L2" s="610"/>
      <c r="M2" s="610"/>
      <c r="N2" s="610"/>
      <c r="O2" s="610"/>
      <c r="P2" s="9"/>
      <c r="Q2" s="9"/>
      <c r="R2" s="9"/>
    </row>
    <row r="3" spans="1:18" ht="5.25" customHeight="1">
      <c r="A3" s="9"/>
      <c r="B3" s="611" t="str">
        <f>'12.lan'!D213</f>
        <v>GEMEINWOHL-MATRIX</v>
      </c>
      <c r="C3" s="611"/>
      <c r="D3" s="611"/>
      <c r="E3" s="611"/>
      <c r="F3" s="611"/>
      <c r="G3" s="611"/>
      <c r="H3" s="252"/>
      <c r="I3" s="252"/>
      <c r="J3" s="252"/>
      <c r="K3" s="9"/>
      <c r="L3" s="9"/>
      <c r="M3" s="253"/>
      <c r="N3" s="253"/>
      <c r="O3" s="253"/>
      <c r="P3" s="9"/>
      <c r="Q3" s="9"/>
      <c r="R3" s="9"/>
    </row>
    <row r="4" spans="1:18" ht="15" customHeight="1">
      <c r="A4" s="9"/>
      <c r="B4" s="611"/>
      <c r="C4" s="611"/>
      <c r="D4" s="611"/>
      <c r="E4" s="611"/>
      <c r="F4" s="611"/>
      <c r="G4" s="611"/>
      <c r="H4" s="252"/>
      <c r="I4" s="612" t="str">
        <f>'12.lan'!D92</f>
        <v>BILANZSUMME:</v>
      </c>
      <c r="J4" s="612"/>
      <c r="K4" s="613">
        <f>'3. Calc'!I4</f>
        <v>0</v>
      </c>
      <c r="L4" s="613"/>
      <c r="M4" s="614" t="str">
        <f>'12.lan'!D214&amp;" "&amp;'3. Calc'!$J$4&amp;'12.lan'!D215</f>
        <v xml:space="preserve"> von  1000 Punkten</v>
      </c>
      <c r="N4" s="614"/>
      <c r="O4" s="614"/>
      <c r="P4" s="9"/>
      <c r="Q4" s="9"/>
      <c r="R4" s="9"/>
    </row>
    <row r="5" spans="1:18" ht="12.75" customHeight="1">
      <c r="A5" s="9"/>
      <c r="B5" s="10" t="str">
        <f>'12.lan'!D82&amp;": "&amp;'1. General'!C6&amp;"; "&amp;'12.lan'!D83&amp;": "&amp;'1. General'!C12</f>
        <v xml:space="preserve">Unternehmen: ; Bilanz-Jahr: </v>
      </c>
      <c r="C5" s="33"/>
      <c r="D5" s="33"/>
      <c r="E5" s="33"/>
      <c r="F5" s="254"/>
      <c r="G5" s="250"/>
      <c r="H5" s="251"/>
      <c r="I5" s="612"/>
      <c r="J5" s="612"/>
      <c r="K5" s="613"/>
      <c r="L5" s="613"/>
      <c r="M5" s="614"/>
      <c r="N5" s="614"/>
      <c r="O5" s="614"/>
      <c r="P5" s="9"/>
      <c r="Q5" s="9"/>
      <c r="R5" s="9"/>
    </row>
    <row r="6" spans="1:18" ht="18" customHeight="1">
      <c r="A6" s="9"/>
      <c r="B6" s="9"/>
      <c r="C6" s="9"/>
      <c r="D6" s="9"/>
      <c r="E6" s="9"/>
      <c r="F6" s="9"/>
      <c r="G6" s="9"/>
      <c r="H6" s="9"/>
      <c r="I6" s="9"/>
      <c r="J6" s="9"/>
      <c r="K6" s="9"/>
      <c r="L6" s="9"/>
      <c r="M6" s="615"/>
      <c r="N6" s="615"/>
      <c r="O6" s="615"/>
      <c r="P6" s="9"/>
      <c r="Q6" s="9"/>
      <c r="R6" s="9"/>
    </row>
    <row r="7" spans="1:18" ht="36" customHeight="1">
      <c r="A7" s="9"/>
      <c r="B7" s="255" t="str">
        <f>'12.lan'!D206</f>
        <v>Werte ►
Berührungsgruppe ▼</v>
      </c>
      <c r="C7" s="616" t="str">
        <f>'12.lan'!D216</f>
        <v>Menschenwürde</v>
      </c>
      <c r="D7" s="616"/>
      <c r="E7" s="616"/>
      <c r="F7" s="616"/>
      <c r="G7" s="616" t="str">
        <f>'12.lan'!D217</f>
        <v>Solidarität &amp; Gerechtigkeit</v>
      </c>
      <c r="H7" s="616"/>
      <c r="I7" s="616"/>
      <c r="J7" s="616"/>
      <c r="K7" s="617" t="str">
        <f>'12.lan'!D218</f>
        <v>Ökologische Nachhaltigkeit</v>
      </c>
      <c r="L7" s="617"/>
      <c r="M7" s="617"/>
      <c r="N7" s="617"/>
      <c r="O7" s="616" t="str">
        <f>'12.lan'!D219</f>
        <v>Transparenz &amp; Mitentscheidung</v>
      </c>
      <c r="P7" s="616"/>
      <c r="Q7" s="616"/>
      <c r="R7" s="616"/>
    </row>
    <row r="8" spans="1:18" ht="53.25" customHeight="1">
      <c r="A8" s="9"/>
      <c r="B8" s="618" t="str">
        <f>"A: "&amp;'12.lan'!D108</f>
        <v>A: Lieferant*innen</v>
      </c>
      <c r="C8" s="619" t="str">
        <f>'12.lan'!B109</f>
        <v>A1: Menschenwürde in der Zulieferkette</v>
      </c>
      <c r="D8" s="619"/>
      <c r="E8" s="619"/>
      <c r="F8" s="619"/>
      <c r="G8" s="619" t="str">
        <f>'12.lan'!B112</f>
        <v>A2: Solidarität und Gerechtigkeit in der Zulieferkette</v>
      </c>
      <c r="H8" s="619"/>
      <c r="I8" s="619"/>
      <c r="J8" s="619"/>
      <c r="K8" s="619" t="str">
        <f>'12.lan'!B116</f>
        <v>A3: Ökologische Nachhaltigkeit in der Zulieferkette</v>
      </c>
      <c r="L8" s="619"/>
      <c r="M8" s="619"/>
      <c r="N8" s="619"/>
      <c r="O8" s="619" t="str">
        <f>'12.lan'!B119</f>
        <v>A4: Transparenz und Mitentscheidung in der Zulieferkette</v>
      </c>
      <c r="P8" s="619"/>
      <c r="Q8" s="619"/>
      <c r="R8" s="619"/>
    </row>
    <row r="9" spans="1:18" ht="21" customHeight="1">
      <c r="A9" s="9"/>
      <c r="B9" s="618"/>
      <c r="C9" s="256">
        <f>'3. Calc'!I10</f>
        <v>0</v>
      </c>
      <c r="D9" s="257" t="str">
        <f>'12.lan'!$D$214</f>
        <v xml:space="preserve"> von </v>
      </c>
      <c r="E9" s="258">
        <f>'3. Calc'!J10</f>
        <v>51.282051282051277</v>
      </c>
      <c r="F9" s="259">
        <f>'3. Calc'!H10</f>
        <v>0</v>
      </c>
      <c r="G9" s="256">
        <f>'3. Calc'!I13</f>
        <v>0</v>
      </c>
      <c r="H9" s="257" t="str">
        <f>'12.lan'!$D$214</f>
        <v xml:space="preserve"> von </v>
      </c>
      <c r="I9" s="258">
        <f>'3. Calc'!J13</f>
        <v>51.282051282051277</v>
      </c>
      <c r="J9" s="259">
        <f>'3. Calc'!H13</f>
        <v>0</v>
      </c>
      <c r="K9" s="256">
        <f>'3. Calc'!I16</f>
        <v>0</v>
      </c>
      <c r="L9" s="257" t="str">
        <f>'12.lan'!$D$214</f>
        <v xml:space="preserve"> von </v>
      </c>
      <c r="M9" s="258">
        <f>'3. Calc'!J16</f>
        <v>51.282051282051277</v>
      </c>
      <c r="N9" s="259">
        <f>'3. Calc'!H16</f>
        <v>0</v>
      </c>
      <c r="O9" s="256">
        <f>'3. Calc'!I19</f>
        <v>0</v>
      </c>
      <c r="P9" s="257" t="str">
        <f>'12.lan'!$D$214</f>
        <v xml:space="preserve"> von </v>
      </c>
      <c r="Q9" s="258">
        <f>'3. Calc'!J19</f>
        <v>25.641025641025639</v>
      </c>
      <c r="R9" s="259">
        <f>'3. Calc'!H19</f>
        <v>0</v>
      </c>
    </row>
    <row r="10" spans="1:18" ht="45" customHeight="1">
      <c r="A10" s="9"/>
      <c r="B10" s="620" t="str">
        <f>"B: "&amp;'12.lan'!D122</f>
        <v>B: Eigentümer*innen und Finanzpartner*innen</v>
      </c>
      <c r="C10" s="619" t="str">
        <f>'12.lan'!B123</f>
        <v>B1: Ethische Haltung im Umgang mit Geldmitteln</v>
      </c>
      <c r="D10" s="619"/>
      <c r="E10" s="619"/>
      <c r="F10" s="619"/>
      <c r="G10" s="619" t="str">
        <f>'12.lan'!B127</f>
        <v>B2: Soziale Haltung im Umgang mit Geldmitteln</v>
      </c>
      <c r="H10" s="619"/>
      <c r="I10" s="619"/>
      <c r="J10" s="619"/>
      <c r="K10" s="619" t="str">
        <f>'12.lan'!B130</f>
        <v>B3: Sozial-ökologische Investitionen und Mittelverwendung</v>
      </c>
      <c r="L10" s="619"/>
      <c r="M10" s="619"/>
      <c r="N10" s="619"/>
      <c r="O10" s="619" t="str">
        <f>'12.lan'!B134&amp;IF('9. Weighting'!I28=1,'12.lan'!D211,"")</f>
        <v>B4: Eigentum und Mitentscheidung</v>
      </c>
      <c r="P10" s="619"/>
      <c r="Q10" s="619"/>
      <c r="R10" s="619"/>
    </row>
    <row r="11" spans="1:18" ht="28.5" customHeight="1">
      <c r="A11" s="9"/>
      <c r="B11" s="620"/>
      <c r="C11" s="256">
        <f>'3. Calc'!I22</f>
        <v>0</v>
      </c>
      <c r="D11" s="257" t="str">
        <f>'12.lan'!$D$214</f>
        <v xml:space="preserve"> von </v>
      </c>
      <c r="E11" s="258">
        <f>'3. Calc'!J22</f>
        <v>51.282051282051277</v>
      </c>
      <c r="F11" s="259">
        <f>'3. Calc'!H22</f>
        <v>0</v>
      </c>
      <c r="G11" s="256">
        <f>'3. Calc'!I24</f>
        <v>0</v>
      </c>
      <c r="H11" s="257" t="str">
        <f>'12.lan'!$D$214</f>
        <v xml:space="preserve"> von </v>
      </c>
      <c r="I11" s="258">
        <f>'3. Calc'!J24</f>
        <v>51.282051282051277</v>
      </c>
      <c r="J11" s="259">
        <f>'3. Calc'!H24</f>
        <v>0</v>
      </c>
      <c r="K11" s="256">
        <f>'3. Calc'!I27</f>
        <v>0</v>
      </c>
      <c r="L11" s="257" t="str">
        <f>'12.lan'!$D$214</f>
        <v xml:space="preserve"> von </v>
      </c>
      <c r="M11" s="258">
        <f>'3. Calc'!J27</f>
        <v>51.282051282051277</v>
      </c>
      <c r="N11" s="259">
        <f>'3. Calc'!H27</f>
        <v>0</v>
      </c>
      <c r="O11" s="256">
        <f>'3. Calc'!I30</f>
        <v>0</v>
      </c>
      <c r="P11" s="257" t="str">
        <f>'12.lan'!$D$214</f>
        <v xml:space="preserve"> von </v>
      </c>
      <c r="Q11" s="258">
        <f>'3. Calc'!J30</f>
        <v>51.282051282051277</v>
      </c>
      <c r="R11" s="259">
        <f>'3. Calc'!H30</f>
        <v>0</v>
      </c>
    </row>
    <row r="12" spans="1:18" ht="50.25" customHeight="1">
      <c r="A12" s="9"/>
      <c r="B12" s="621" t="str">
        <f>"C: "&amp;'12.lan'!D137</f>
        <v>C: Mitarbeitende</v>
      </c>
      <c r="C12" s="619" t="str">
        <f>'12.lan'!B138</f>
        <v>C1: Menschenwürde am Arbeitsplatz</v>
      </c>
      <c r="D12" s="619"/>
      <c r="E12" s="619"/>
      <c r="F12" s="619"/>
      <c r="G12" s="619" t="str">
        <f>'12.lan'!B143</f>
        <v>C2: Ausgestaltung der Arbeitsverträge</v>
      </c>
      <c r="H12" s="619"/>
      <c r="I12" s="619"/>
      <c r="J12" s="619"/>
      <c r="K12" s="619" t="str">
        <f>'12.lan'!B148</f>
        <v>C3: Förderung des ökologischen Verhaltens der Mitarbeitenden</v>
      </c>
      <c r="L12" s="619"/>
      <c r="M12" s="619"/>
      <c r="N12" s="619"/>
      <c r="O12" s="619" t="str">
        <f>'12.lan'!B153</f>
        <v>C4: Innerbetriebliche Mitentscheidung und Transparenz</v>
      </c>
      <c r="P12" s="619"/>
      <c r="Q12" s="619"/>
      <c r="R12" s="619"/>
    </row>
    <row r="13" spans="1:18" ht="16.5" customHeight="1">
      <c r="A13" s="9"/>
      <c r="B13" s="621"/>
      <c r="C13" s="256">
        <f>'3. Calc'!I34</f>
        <v>0</v>
      </c>
      <c r="D13" s="257" t="str">
        <f>'12.lan'!$D$214</f>
        <v xml:space="preserve"> von </v>
      </c>
      <c r="E13" s="258">
        <f>'3. Calc'!J34</f>
        <v>51.282051282051277</v>
      </c>
      <c r="F13" s="259">
        <f>'3. Calc'!H34</f>
        <v>0</v>
      </c>
      <c r="G13" s="256">
        <f>'3. Calc'!I37</f>
        <v>0</v>
      </c>
      <c r="H13" s="257" t="str">
        <f>'12.lan'!$D$214</f>
        <v xml:space="preserve"> von </v>
      </c>
      <c r="I13" s="258">
        <f>'3. Calc'!J37</f>
        <v>51.282051282051277</v>
      </c>
      <c r="J13" s="259">
        <f>'3. Calc'!H37</f>
        <v>0</v>
      </c>
      <c r="K13" s="256">
        <f>'3. Calc'!I40</f>
        <v>0</v>
      </c>
      <c r="L13" s="257" t="str">
        <f>'12.lan'!$D$214</f>
        <v xml:space="preserve"> von </v>
      </c>
      <c r="M13" s="258">
        <f>'3. Calc'!J40</f>
        <v>51.282051282051277</v>
      </c>
      <c r="N13" s="259">
        <f>'3. Calc'!H40</f>
        <v>0</v>
      </c>
      <c r="O13" s="256">
        <f>'3. Calc'!I43</f>
        <v>0</v>
      </c>
      <c r="P13" s="257" t="str">
        <f>'12.lan'!$D$214</f>
        <v xml:space="preserve"> von </v>
      </c>
      <c r="Q13" s="258">
        <f>'3. Calc'!J43</f>
        <v>51.282051282051277</v>
      </c>
      <c r="R13" s="259">
        <f>'3. Calc'!H43</f>
        <v>0</v>
      </c>
    </row>
    <row r="14" spans="1:18" ht="50.25" customHeight="1">
      <c r="A14" s="9"/>
      <c r="B14" s="621" t="str">
        <f>"D: "&amp;'12.lan'!D158</f>
        <v>D: Kund*nnen und Mitunternehmen</v>
      </c>
      <c r="C14" s="619" t="str">
        <f>'12.lan'!B159</f>
        <v>D1: Ethische Kund*innenbeziehungen</v>
      </c>
      <c r="D14" s="619"/>
      <c r="E14" s="619"/>
      <c r="F14" s="619"/>
      <c r="G14" s="619" t="str">
        <f>'12.lan'!B163</f>
        <v>D2: Kooperation und Solidarität mit Mitunternehmen</v>
      </c>
      <c r="H14" s="619"/>
      <c r="I14" s="619"/>
      <c r="J14" s="619"/>
      <c r="K14" s="619" t="str">
        <f>'12.lan'!B167</f>
        <v>D3: Ökologische Auswirkung durch Nutzung und Entsorgung von Produkten und Dienstleistungen</v>
      </c>
      <c r="L14" s="619"/>
      <c r="M14" s="619"/>
      <c r="N14" s="619"/>
      <c r="O14" s="619" t="str">
        <f>'12.lan'!B171</f>
        <v>D4: Kund*innen-Mitwirkung und Produkttransparenz</v>
      </c>
      <c r="P14" s="619"/>
      <c r="Q14" s="619"/>
      <c r="R14" s="619"/>
    </row>
    <row r="15" spans="1:18" ht="16.5" customHeight="1">
      <c r="A15" s="9"/>
      <c r="B15" s="621"/>
      <c r="C15" s="256">
        <f>'3. Calc'!I47</f>
        <v>0</v>
      </c>
      <c r="D15" s="257" t="str">
        <f>'12.lan'!$D$214</f>
        <v xml:space="preserve"> von </v>
      </c>
      <c r="E15" s="258">
        <f>'3. Calc'!J47</f>
        <v>51.282051282051277</v>
      </c>
      <c r="F15" s="259">
        <f>'3. Calc'!H47</f>
        <v>0</v>
      </c>
      <c r="G15" s="256">
        <f>'3. Calc'!I50</f>
        <v>0</v>
      </c>
      <c r="H15" s="257" t="str">
        <f>'12.lan'!$D$214</f>
        <v xml:space="preserve"> von </v>
      </c>
      <c r="I15" s="258">
        <f>'3. Calc'!J50</f>
        <v>51.282051282051277</v>
      </c>
      <c r="J15" s="259">
        <f>'3. Calc'!H50</f>
        <v>0</v>
      </c>
      <c r="K15" s="256">
        <f>'3. Calc'!I53</f>
        <v>0</v>
      </c>
      <c r="L15" s="257" t="str">
        <f>'12.lan'!$D$214</f>
        <v xml:space="preserve"> von </v>
      </c>
      <c r="M15" s="258">
        <f>'3. Calc'!J53</f>
        <v>51.282051282051277</v>
      </c>
      <c r="N15" s="259">
        <f>'3. Calc'!H53</f>
        <v>0</v>
      </c>
      <c r="O15" s="256">
        <f>'3. Calc'!I56</f>
        <v>0</v>
      </c>
      <c r="P15" s="257" t="str">
        <f>'12.lan'!$D$214</f>
        <v xml:space="preserve"> von </v>
      </c>
      <c r="Q15" s="258">
        <f>'3. Calc'!J56</f>
        <v>51.282051282051277</v>
      </c>
      <c r="R15" s="259">
        <f>'3. Calc'!H56</f>
        <v>0</v>
      </c>
    </row>
    <row r="16" spans="1:18" ht="50.25" customHeight="1">
      <c r="A16" s="9"/>
      <c r="B16" s="621" t="str">
        <f>"E: "&amp;'12.lan'!D175</f>
        <v>E: Gesellschaftliches Umfeld</v>
      </c>
      <c r="C16" s="619" t="str">
        <f>'12.lan'!B176</f>
        <v>E1: Sinn und gesellschaftliche Wirkung der Produkte und Dienstleistungen</v>
      </c>
      <c r="D16" s="619"/>
      <c r="E16" s="619"/>
      <c r="F16" s="619"/>
      <c r="G16" s="619" t="str">
        <f>'12.lan'!B180</f>
        <v>E2: Beitrag zum Gemeinwesen</v>
      </c>
      <c r="H16" s="619"/>
      <c r="I16" s="619"/>
      <c r="J16" s="619"/>
      <c r="K16" s="619" t="str">
        <f>'12.lan'!B185</f>
        <v>E3: Reduktion ökologischer Auswirkungen</v>
      </c>
      <c r="L16" s="619"/>
      <c r="M16" s="619"/>
      <c r="N16" s="619"/>
      <c r="O16" s="619" t="str">
        <f>'12.lan'!B189</f>
        <v>E4: Transparenz und gesellschaftliche Mitentscheidung</v>
      </c>
      <c r="P16" s="619"/>
      <c r="Q16" s="619"/>
      <c r="R16" s="619"/>
    </row>
    <row r="17" spans="1:18" ht="16.5" customHeight="1">
      <c r="A17" s="9"/>
      <c r="B17" s="621"/>
      <c r="C17" s="256">
        <f>'3. Calc'!I60</f>
        <v>0</v>
      </c>
      <c r="D17" s="257" t="str">
        <f>'12.lan'!$D$214</f>
        <v xml:space="preserve"> von </v>
      </c>
      <c r="E17" s="258">
        <f>'3. Calc'!J60</f>
        <v>51.282051282051277</v>
      </c>
      <c r="F17" s="259">
        <f>'3. Calc'!H60</f>
        <v>0</v>
      </c>
      <c r="G17" s="256">
        <f>'3. Calc'!I63</f>
        <v>0</v>
      </c>
      <c r="H17" s="257" t="str">
        <f>'12.lan'!$D$214</f>
        <v xml:space="preserve"> von </v>
      </c>
      <c r="I17" s="258">
        <f>'3. Calc'!J63</f>
        <v>51.282051282051277</v>
      </c>
      <c r="J17" s="259">
        <f>'3. Calc'!H63</f>
        <v>0</v>
      </c>
      <c r="K17" s="256">
        <f>'3. Calc'!I67</f>
        <v>0</v>
      </c>
      <c r="L17" s="257" t="str">
        <f>'12.lan'!$D$214</f>
        <v xml:space="preserve"> von </v>
      </c>
      <c r="M17" s="258">
        <f>'3. Calc'!J67</f>
        <v>51.282051282051277</v>
      </c>
      <c r="N17" s="259">
        <f>'3. Calc'!H67</f>
        <v>0</v>
      </c>
      <c r="O17" s="256">
        <f>'3. Calc'!I70</f>
        <v>0</v>
      </c>
      <c r="P17" s="257" t="str">
        <f>'12.lan'!$D$214</f>
        <v xml:space="preserve"> von </v>
      </c>
      <c r="Q17" s="258">
        <f>'3. Calc'!J70</f>
        <v>51.282051282051277</v>
      </c>
      <c r="R17" s="259">
        <f>'3. Calc'!H70</f>
        <v>0</v>
      </c>
    </row>
  </sheetData>
  <sheetProtection algorithmName="SHA-512" hashValue="TWJBzEVBPXuSn5BEQEhOSLSgNIhE+cgt8rBWqLztwdXmn7DRzTpa0l5UNj3scQwWzLOHmBCHcXDAHPqge4NkJQ==" saltValue="2mNhpX27dNqNHGKjnN9UQA==" spinCount="100000" sheet="1" objects="1" scenarios="1"/>
  <mergeCells count="35">
    <mergeCell ref="B16:B17"/>
    <mergeCell ref="C16:F16"/>
    <mergeCell ref="G16:J16"/>
    <mergeCell ref="K16:N16"/>
    <mergeCell ref="O16:R16"/>
    <mergeCell ref="B14:B15"/>
    <mergeCell ref="C14:F14"/>
    <mergeCell ref="G14:J14"/>
    <mergeCell ref="K14:N14"/>
    <mergeCell ref="O14:R14"/>
    <mergeCell ref="B12:B13"/>
    <mergeCell ref="C12:F12"/>
    <mergeCell ref="G12:J12"/>
    <mergeCell ref="K12:N12"/>
    <mergeCell ref="O12:R12"/>
    <mergeCell ref="B10:B11"/>
    <mergeCell ref="C10:F10"/>
    <mergeCell ref="G10:J10"/>
    <mergeCell ref="K10:N10"/>
    <mergeCell ref="O10:R10"/>
    <mergeCell ref="B8:B9"/>
    <mergeCell ref="C8:F8"/>
    <mergeCell ref="G8:J8"/>
    <mergeCell ref="K8:N8"/>
    <mergeCell ref="O8:R8"/>
    <mergeCell ref="M6:O6"/>
    <mergeCell ref="C7:F7"/>
    <mergeCell ref="G7:J7"/>
    <mergeCell ref="K7:N7"/>
    <mergeCell ref="O7:R7"/>
    <mergeCell ref="I2:O2"/>
    <mergeCell ref="B3:G4"/>
    <mergeCell ref="I4:J5"/>
    <mergeCell ref="K4:L5"/>
    <mergeCell ref="M4:O5"/>
  </mergeCells>
  <conditionalFormatting sqref="F9 J9 N9 R9 R11 N11 J11 F11 F13 J13 N13 R13 R15 N15 J15 F15 F17 J17 N17 R17">
    <cfRule type="cellIs" dxfId="6" priority="1" operator="lessThan">
      <formula>0</formula>
    </cfRule>
  </conditionalFormatting>
  <pageMargins left="0.35416666666666669" right="0.59027777777777779" top="0.35416666666666669" bottom="0.59027777777777779" header="0.51180555555555551" footer="0.51180555555555551"/>
  <pageSetup paperSize="9" firstPageNumber="0"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G23"/>
  <sheetViews>
    <sheetView showGridLines="0" topLeftCell="A10" zoomScale="75" zoomScaleNormal="75" workbookViewId="0">
      <selection activeCell="C18" sqref="C18"/>
    </sheetView>
  </sheetViews>
  <sheetFormatPr baseColWidth="10" defaultColWidth="10.7109375" defaultRowHeight="14.1" customHeight="1"/>
  <cols>
    <col min="1" max="1" width="2.7109375" style="260" customWidth="1"/>
    <col min="2" max="2" width="49.85546875" style="260" customWidth="1"/>
    <col min="3" max="3" width="7.28515625" style="260" customWidth="1"/>
    <col min="4" max="4" width="5.28515625" style="261" customWidth="1"/>
    <col min="5" max="5" width="6.7109375" style="260" customWidth="1"/>
    <col min="6" max="6" width="15" style="262" customWidth="1"/>
    <col min="7" max="7" width="10.7109375" style="263" customWidth="1"/>
    <col min="8" max="16384" width="10.7109375" style="260"/>
  </cols>
  <sheetData>
    <row r="1" spans="1:6" ht="14.1" customHeight="1">
      <c r="A1" s="264"/>
      <c r="B1" s="265"/>
      <c r="C1" s="266"/>
      <c r="D1" s="265"/>
      <c r="E1" s="267"/>
      <c r="F1" s="266"/>
    </row>
    <row r="2" spans="1:6" ht="14.1" customHeight="1">
      <c r="A2" s="264"/>
      <c r="B2" s="622" t="str">
        <f>'12.lan'!D91&amp;" - "&amp;'0. Intro'!B3&amp;" "&amp;'0. Intro'!C3</f>
        <v>Gemeinwohl-Bilanz-Rechner - Version 5.02</v>
      </c>
      <c r="C2" s="622"/>
      <c r="D2" s="622"/>
      <c r="E2" s="622"/>
      <c r="F2" s="622"/>
    </row>
    <row r="3" spans="1:6" ht="7.5" customHeight="1">
      <c r="A3" s="264"/>
      <c r="B3" s="623" t="str">
        <f>'12.lan'!D241&amp;'1. General'!C6</f>
        <v xml:space="preserve">Werte-Stern für </v>
      </c>
      <c r="C3" s="623"/>
      <c r="D3" s="623"/>
      <c r="E3" s="623"/>
      <c r="F3" s="623"/>
    </row>
    <row r="4" spans="1:6" ht="15" customHeight="1">
      <c r="A4" s="264"/>
      <c r="B4" s="623"/>
      <c r="C4" s="623"/>
      <c r="D4" s="623"/>
      <c r="E4" s="623"/>
      <c r="F4" s="623"/>
    </row>
    <row r="5" spans="1:6" ht="30" customHeight="1">
      <c r="A5" s="264"/>
      <c r="B5" s="268"/>
      <c r="C5" s="266"/>
      <c r="D5" s="265"/>
      <c r="E5" s="267"/>
      <c r="F5" s="266"/>
    </row>
    <row r="6" spans="1:6" ht="14.1" customHeight="1">
      <c r="A6" s="264"/>
      <c r="B6" s="268"/>
      <c r="C6" s="266"/>
      <c r="D6" s="265"/>
      <c r="E6" s="267"/>
      <c r="F6" s="266"/>
    </row>
    <row r="7" spans="1:6" ht="14.1" customHeight="1">
      <c r="A7" s="264"/>
      <c r="B7" s="268"/>
      <c r="C7" s="269"/>
      <c r="D7" s="269"/>
      <c r="E7" s="268"/>
      <c r="F7" s="264"/>
    </row>
    <row r="8" spans="1:6" ht="15" customHeight="1">
      <c r="A8" s="264"/>
      <c r="B8" s="266"/>
      <c r="C8" s="266"/>
      <c r="D8" s="265"/>
      <c r="E8" s="267"/>
      <c r="F8" s="266"/>
    </row>
    <row r="9" spans="1:6" ht="30" customHeight="1">
      <c r="A9" s="264"/>
      <c r="B9" s="270"/>
      <c r="C9" s="271"/>
      <c r="D9" s="272"/>
      <c r="E9" s="271"/>
      <c r="F9" s="273"/>
    </row>
    <row r="10" spans="1:6" ht="30" customHeight="1">
      <c r="A10" s="264"/>
      <c r="B10" s="270"/>
      <c r="C10" s="271"/>
      <c r="D10" s="272"/>
      <c r="E10" s="271"/>
      <c r="F10" s="273"/>
    </row>
    <row r="11" spans="1:6" ht="30" customHeight="1">
      <c r="A11" s="264"/>
      <c r="B11" s="270"/>
      <c r="C11" s="271"/>
      <c r="D11" s="272"/>
      <c r="E11" s="271"/>
      <c r="F11" s="273"/>
    </row>
    <row r="12" spans="1:6" ht="30" customHeight="1">
      <c r="A12" s="264"/>
      <c r="B12" s="270"/>
      <c r="C12" s="271"/>
      <c r="D12" s="272"/>
      <c r="E12" s="271"/>
      <c r="F12" s="273"/>
    </row>
    <row r="13" spans="1:6" ht="30" customHeight="1">
      <c r="A13" s="264"/>
      <c r="B13" s="270"/>
      <c r="C13" s="271"/>
      <c r="D13" s="272"/>
      <c r="E13" s="271"/>
      <c r="F13" s="273"/>
    </row>
    <row r="14" spans="1:6" ht="14.1" customHeight="1">
      <c r="A14" s="264"/>
      <c r="B14" s="264"/>
      <c r="C14" s="264"/>
      <c r="D14" s="265"/>
      <c r="E14" s="264"/>
      <c r="F14" s="266"/>
    </row>
    <row r="15" spans="1:6" ht="15" customHeight="1">
      <c r="A15" s="264"/>
      <c r="B15" s="624"/>
      <c r="C15" s="624"/>
      <c r="D15" s="624"/>
      <c r="E15" s="624"/>
      <c r="F15" s="624"/>
    </row>
    <row r="16" spans="1:6" ht="93.75" customHeight="1">
      <c r="A16" s="264"/>
      <c r="B16" s="625"/>
      <c r="C16" s="625"/>
      <c r="D16" s="625"/>
      <c r="E16" s="625"/>
      <c r="F16" s="625"/>
    </row>
    <row r="17" spans="1:7" ht="30" customHeight="1">
      <c r="A17" s="264"/>
      <c r="B17" s="626" t="str">
        <f>'12.lan'!D221</f>
        <v>BILANZ-ÜBERSICHT</v>
      </c>
      <c r="C17" s="626"/>
      <c r="D17" s="626"/>
      <c r="E17" s="626"/>
      <c r="F17" s="626"/>
    </row>
    <row r="18" spans="1:7" ht="26.25" customHeight="1">
      <c r="A18" s="264"/>
      <c r="B18" s="274" t="str">
        <f>'12.lan'!D216</f>
        <v>Menschenwürde</v>
      </c>
      <c r="C18" s="275">
        <f>'4. ECG-Matrix'!C9+'4. ECG-Matrix'!C11+'4. ECG-Matrix'!C13+'4. ECG-Matrix'!C15+'4. ECG-Matrix'!C17</f>
        <v>0</v>
      </c>
      <c r="D18" s="276" t="str">
        <f>'12.lan'!$D$214</f>
        <v xml:space="preserve"> von </v>
      </c>
      <c r="E18" s="277">
        <f>'4. ECG-Matrix'!E9+'4. ECG-Matrix'!E11+'4. ECG-Matrix'!E13+'4. ECG-Matrix'!E15+'4. ECG-Matrix'!E17</f>
        <v>256.41025641025641</v>
      </c>
      <c r="F18" s="278">
        <f>C18/E18</f>
        <v>0</v>
      </c>
      <c r="G18" s="76">
        <f>IF(F18&lt;0,0,F18)</f>
        <v>0</v>
      </c>
    </row>
    <row r="19" spans="1:7" ht="26.25" customHeight="1">
      <c r="A19" s="264"/>
      <c r="B19" s="274" t="str">
        <f>'12.lan'!D217</f>
        <v>Solidarität &amp; Gerechtigkeit</v>
      </c>
      <c r="C19" s="275">
        <f>'4. ECG-Matrix'!G9+'4. ECG-Matrix'!G11+'4. ECG-Matrix'!G13+'4. ECG-Matrix'!G15+'4. ECG-Matrix'!G17</f>
        <v>0</v>
      </c>
      <c r="D19" s="276" t="str">
        <f>'12.lan'!$D$214</f>
        <v xml:space="preserve"> von </v>
      </c>
      <c r="E19" s="277">
        <f>'4. ECG-Matrix'!I9+'4. ECG-Matrix'!I11+'4. ECG-Matrix'!I13+'4. ECG-Matrix'!I15+'4. ECG-Matrix'!I17</f>
        <v>256.41025641025641</v>
      </c>
      <c r="F19" s="278">
        <f>C19/E19</f>
        <v>0</v>
      </c>
      <c r="G19" s="76">
        <f>IF(F19&lt;0,0,F19)</f>
        <v>0</v>
      </c>
    </row>
    <row r="20" spans="1:7" ht="26.25" customHeight="1">
      <c r="A20" s="264"/>
      <c r="B20" s="274" t="str">
        <f>'12.lan'!D218</f>
        <v>Ökologische Nachhaltigkeit</v>
      </c>
      <c r="C20" s="275">
        <f>'4. ECG-Matrix'!K9+'4. ECG-Matrix'!K11+'4. ECG-Matrix'!K13+'4. ECG-Matrix'!K15+'4. ECG-Matrix'!K17</f>
        <v>0</v>
      </c>
      <c r="D20" s="276" t="str">
        <f>'12.lan'!$D$214</f>
        <v xml:space="preserve"> von </v>
      </c>
      <c r="E20" s="277">
        <f>'4. ECG-Matrix'!M9+'4. ECG-Matrix'!M11+'4. ECG-Matrix'!M13+'4. ECG-Matrix'!M15+'4. ECG-Matrix'!M17</f>
        <v>256.41025641025641</v>
      </c>
      <c r="F20" s="278">
        <f>C20/E20</f>
        <v>0</v>
      </c>
      <c r="G20" s="76">
        <f>IF(F20&lt;0,0,F20)</f>
        <v>0</v>
      </c>
    </row>
    <row r="21" spans="1:7" ht="26.25" customHeight="1">
      <c r="A21" s="264"/>
      <c r="B21" s="274" t="str">
        <f>'12.lan'!D219</f>
        <v>Transparenz &amp; Mitentscheidung</v>
      </c>
      <c r="C21" s="275">
        <f>'4. ECG-Matrix'!O9+'4. ECG-Matrix'!O11+'4. ECG-Matrix'!O13+'4. ECG-Matrix'!O15+'4. ECG-Matrix'!O17</f>
        <v>0</v>
      </c>
      <c r="D21" s="276" t="str">
        <f>'12.lan'!$D$214</f>
        <v xml:space="preserve"> von </v>
      </c>
      <c r="E21" s="277">
        <f>'4. ECG-Matrix'!Q9+'4. ECG-Matrix'!Q11+'4. ECG-Matrix'!Q13+'4. ECG-Matrix'!Q15+'4. ECG-Matrix'!Q17</f>
        <v>230.76923076923075</v>
      </c>
      <c r="F21" s="278">
        <f>C21/E21</f>
        <v>0</v>
      </c>
      <c r="G21" s="76">
        <f>IF(F21&lt;0,0,F21)</f>
        <v>0</v>
      </c>
    </row>
    <row r="22" spans="1:7" ht="30" customHeight="1">
      <c r="A22" s="264"/>
      <c r="B22" s="279" t="str">
        <f>'12.lan'!D228</f>
        <v>SUMME</v>
      </c>
      <c r="C22" s="280">
        <f>'3. Calc'!I4</f>
        <v>0</v>
      </c>
      <c r="D22" s="281" t="str">
        <f>'12.lan'!$D$214</f>
        <v xml:space="preserve"> von </v>
      </c>
      <c r="E22" s="282">
        <f>'3. Calc'!J4</f>
        <v>1000</v>
      </c>
      <c r="F22" s="283">
        <f>C22/E22</f>
        <v>0</v>
      </c>
    </row>
    <row r="23" spans="1:7" ht="14.1" customHeight="1">
      <c r="A23" s="264"/>
      <c r="B23" s="264"/>
      <c r="C23" s="264"/>
      <c r="D23" s="265"/>
      <c r="E23" s="264"/>
      <c r="F23" s="266"/>
    </row>
  </sheetData>
  <sheetProtection algorithmName="SHA-512" hashValue="yp9gboveWyhI9UQUc+PpgTpqelwkWX25yAlsMfvKBQkct1g12zWWNrwCEkRvvz46gemUNMvJpeVtbULhi698Fw==" saltValue="UMpGpnO5qxkT39R5BFF+zQ==" spinCount="100000" sheet="1" objects="1" scenarios="1" selectLockedCells="1" selectUnlockedCells="1"/>
  <mergeCells count="5">
    <mergeCell ref="B2:F2"/>
    <mergeCell ref="B3:F4"/>
    <mergeCell ref="B15:F15"/>
    <mergeCell ref="B16:F16"/>
    <mergeCell ref="B17:F17"/>
  </mergeCells>
  <conditionalFormatting sqref="F18:F21">
    <cfRule type="cellIs" dxfId="5" priority="2" operator="lessThan">
      <formula>0</formula>
    </cfRule>
  </conditionalFormatting>
  <conditionalFormatting sqref="F22">
    <cfRule type="cellIs" dxfId="4"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G24"/>
  <sheetViews>
    <sheetView showGridLines="0" topLeftCell="A10" zoomScale="75" zoomScaleNormal="75" workbookViewId="0">
      <selection activeCell="C23" sqref="C23"/>
    </sheetView>
  </sheetViews>
  <sheetFormatPr baseColWidth="10" defaultColWidth="10.7109375" defaultRowHeight="14.1" customHeight="1"/>
  <cols>
    <col min="1" max="1" width="2.7109375" style="260" customWidth="1"/>
    <col min="2" max="2" width="54.28515625" style="260" customWidth="1"/>
    <col min="3" max="3" width="7.28515625" style="260" customWidth="1"/>
    <col min="4" max="4" width="5.28515625" style="261" customWidth="1"/>
    <col min="5" max="5" width="6.7109375" style="260" customWidth="1"/>
    <col min="6" max="6" width="15" style="262" customWidth="1"/>
    <col min="7" max="7" width="10.7109375" style="263" customWidth="1"/>
    <col min="8" max="16384" width="10.7109375" style="260"/>
  </cols>
  <sheetData>
    <row r="1" spans="1:6" ht="14.1" customHeight="1">
      <c r="A1" s="264"/>
      <c r="B1" s="265"/>
      <c r="C1" s="266"/>
      <c r="D1" s="265"/>
      <c r="E1" s="267"/>
      <c r="F1" s="266"/>
    </row>
    <row r="2" spans="1:6" ht="14.1" customHeight="1">
      <c r="A2" s="264"/>
      <c r="B2" s="622" t="str">
        <f>'12.lan'!D91&amp;" - "&amp;'0. Intro'!B3&amp;" "&amp;'0. Intro'!C3</f>
        <v>Gemeinwohl-Bilanz-Rechner - Version 5.02</v>
      </c>
      <c r="C2" s="622"/>
      <c r="D2" s="622"/>
      <c r="E2" s="622"/>
      <c r="F2" s="622"/>
    </row>
    <row r="3" spans="1:6" ht="7.5" customHeight="1">
      <c r="A3" s="264"/>
      <c r="B3" s="623" t="str">
        <f>'12.lan'!D242&amp;'1. General'!C6</f>
        <v xml:space="preserve">Gruppen-Stern für </v>
      </c>
      <c r="C3" s="623"/>
      <c r="D3" s="623"/>
      <c r="E3" s="623"/>
      <c r="F3" s="623"/>
    </row>
    <row r="4" spans="1:6" ht="15" customHeight="1">
      <c r="A4" s="264"/>
      <c r="B4" s="623"/>
      <c r="C4" s="623"/>
      <c r="D4" s="623"/>
      <c r="E4" s="623"/>
      <c r="F4" s="623"/>
    </row>
    <row r="5" spans="1:6" ht="30" customHeight="1">
      <c r="A5" s="264"/>
      <c r="B5" s="268"/>
      <c r="C5" s="266"/>
      <c r="D5" s="265"/>
      <c r="E5" s="267"/>
      <c r="F5" s="266"/>
    </row>
    <row r="6" spans="1:6" ht="14.1" customHeight="1">
      <c r="A6" s="264"/>
      <c r="B6" s="268"/>
      <c r="C6" s="266"/>
      <c r="D6" s="265"/>
      <c r="E6" s="267"/>
      <c r="F6" s="266"/>
    </row>
    <row r="7" spans="1:6" ht="14.1" customHeight="1">
      <c r="A7" s="264"/>
      <c r="B7" s="268"/>
      <c r="C7" s="269"/>
      <c r="D7" s="269"/>
      <c r="E7" s="268"/>
      <c r="F7" s="264"/>
    </row>
    <row r="8" spans="1:6" ht="15" customHeight="1">
      <c r="A8" s="264"/>
      <c r="B8" s="266"/>
      <c r="C8" s="266"/>
      <c r="D8" s="265"/>
      <c r="E8" s="267"/>
      <c r="F8" s="266"/>
    </row>
    <row r="9" spans="1:6" ht="30" customHeight="1">
      <c r="A9" s="264"/>
      <c r="B9" s="270"/>
      <c r="C9" s="271"/>
      <c r="D9" s="272"/>
      <c r="E9" s="271"/>
      <c r="F9" s="273"/>
    </row>
    <row r="10" spans="1:6" ht="30" customHeight="1">
      <c r="A10" s="264"/>
      <c r="B10" s="270"/>
      <c r="C10" s="271"/>
      <c r="D10" s="272"/>
      <c r="E10" s="271"/>
      <c r="F10" s="273"/>
    </row>
    <row r="11" spans="1:6" ht="30" customHeight="1">
      <c r="A11" s="264"/>
      <c r="B11" s="270"/>
      <c r="C11" s="271"/>
      <c r="D11" s="272"/>
      <c r="E11" s="271"/>
      <c r="F11" s="273"/>
    </row>
    <row r="12" spans="1:6" ht="30" customHeight="1">
      <c r="A12" s="264"/>
      <c r="B12" s="270"/>
      <c r="C12" s="271"/>
      <c r="D12" s="272"/>
      <c r="E12" s="271"/>
      <c r="F12" s="273"/>
    </row>
    <row r="13" spans="1:6" ht="30" customHeight="1">
      <c r="A13" s="264"/>
      <c r="B13" s="270"/>
      <c r="C13" s="271"/>
      <c r="D13" s="272"/>
      <c r="E13" s="271"/>
      <c r="F13" s="273"/>
    </row>
    <row r="14" spans="1:6" ht="14.1" customHeight="1">
      <c r="A14" s="264"/>
      <c r="B14" s="264"/>
      <c r="C14" s="264"/>
      <c r="D14" s="265"/>
      <c r="E14" s="264"/>
      <c r="F14" s="266"/>
    </row>
    <row r="15" spans="1:6" ht="15" customHeight="1">
      <c r="A15" s="264"/>
      <c r="B15" s="624"/>
      <c r="C15" s="624"/>
      <c r="D15" s="624"/>
      <c r="E15" s="624"/>
      <c r="F15" s="624"/>
    </row>
    <row r="16" spans="1:6" ht="93.75" customHeight="1">
      <c r="A16" s="264"/>
      <c r="B16" s="625"/>
      <c r="C16" s="625"/>
      <c r="D16" s="625"/>
      <c r="E16" s="625"/>
      <c r="F16" s="625"/>
    </row>
    <row r="17" spans="1:7" ht="30" customHeight="1">
      <c r="A17" s="264"/>
      <c r="B17" s="626" t="str">
        <f>'12.lan'!D221</f>
        <v>BILANZ-ÜBERSICHT</v>
      </c>
      <c r="C17" s="626"/>
      <c r="D17" s="626"/>
      <c r="E17" s="626"/>
      <c r="F17" s="626"/>
    </row>
    <row r="18" spans="1:7" ht="26.25" customHeight="1">
      <c r="A18" s="264"/>
      <c r="B18" s="274" t="str">
        <f>'12.lan'!D108</f>
        <v>Lieferant*innen</v>
      </c>
      <c r="C18" s="275">
        <f>'3. Calc'!I9</f>
        <v>0</v>
      </c>
      <c r="D18" s="276" t="str">
        <f>'12.lan'!$D$214</f>
        <v xml:space="preserve"> von </v>
      </c>
      <c r="E18" s="277">
        <f>'3. Calc'!J9</f>
        <v>179.48717948717947</v>
      </c>
      <c r="F18" s="278">
        <f t="shared" ref="F18:F23" si="0">C18/E18</f>
        <v>0</v>
      </c>
      <c r="G18" s="76">
        <f>IF(F18&lt;0,0,F18)</f>
        <v>0</v>
      </c>
    </row>
    <row r="19" spans="1:7" ht="26.25" customHeight="1">
      <c r="A19" s="264"/>
      <c r="B19" s="274" t="str">
        <f>'12.lan'!D122</f>
        <v>Eigentümer*innen und Finanzpartner*innen</v>
      </c>
      <c r="C19" s="275">
        <f>'3. Calc'!I21</f>
        <v>0</v>
      </c>
      <c r="D19" s="276" t="str">
        <f>'12.lan'!$D$214</f>
        <v xml:space="preserve"> von </v>
      </c>
      <c r="E19" s="277">
        <f>'3. Calc'!J21</f>
        <v>205.12820512820511</v>
      </c>
      <c r="F19" s="278">
        <f t="shared" si="0"/>
        <v>0</v>
      </c>
      <c r="G19" s="76">
        <f>IF(F19&lt;0,0,F19)</f>
        <v>0</v>
      </c>
    </row>
    <row r="20" spans="1:7" ht="26.25" customHeight="1">
      <c r="A20" s="264"/>
      <c r="B20" s="274" t="str">
        <f>'12.lan'!D137</f>
        <v>Mitarbeitende</v>
      </c>
      <c r="C20" s="275">
        <f>'3. Calc'!I33</f>
        <v>0</v>
      </c>
      <c r="D20" s="276" t="str">
        <f>'12.lan'!$D$214</f>
        <v xml:space="preserve"> von </v>
      </c>
      <c r="E20" s="277">
        <f>'3. Calc'!J33</f>
        <v>205.12820512820511</v>
      </c>
      <c r="F20" s="278">
        <f t="shared" si="0"/>
        <v>0</v>
      </c>
      <c r="G20" s="76">
        <f>IF(F20&lt;0,0,F20)</f>
        <v>0</v>
      </c>
    </row>
    <row r="21" spans="1:7" ht="26.25" customHeight="1">
      <c r="A21" s="264"/>
      <c r="B21" s="274" t="str">
        <f>'12.lan'!D158</f>
        <v>Kund*nnen und Mitunternehmen</v>
      </c>
      <c r="C21" s="275">
        <f>'3. Calc'!I46</f>
        <v>0</v>
      </c>
      <c r="D21" s="276" t="str">
        <f>'12.lan'!$D$214</f>
        <v xml:space="preserve"> von </v>
      </c>
      <c r="E21" s="277">
        <f>'3. Calc'!J46</f>
        <v>205.12820512820511</v>
      </c>
      <c r="F21" s="278">
        <f t="shared" si="0"/>
        <v>0</v>
      </c>
      <c r="G21" s="76">
        <f>IF(F21&lt;0,0,F21)</f>
        <v>0</v>
      </c>
    </row>
    <row r="22" spans="1:7" ht="26.25" customHeight="1">
      <c r="A22" s="264"/>
      <c r="B22" s="274" t="str">
        <f>'12.lan'!D175</f>
        <v>Gesellschaftliches Umfeld</v>
      </c>
      <c r="C22" s="275">
        <f>'3. Calc'!I59</f>
        <v>0</v>
      </c>
      <c r="D22" s="276" t="str">
        <f>'12.lan'!$D$214</f>
        <v xml:space="preserve"> von </v>
      </c>
      <c r="E22" s="277">
        <f>'3. Calc'!J59</f>
        <v>205.12820512820511</v>
      </c>
      <c r="F22" s="278">
        <f t="shared" si="0"/>
        <v>0</v>
      </c>
      <c r="G22" s="76">
        <f>IF(F22&lt;0,0,F22)</f>
        <v>0</v>
      </c>
    </row>
    <row r="23" spans="1:7" ht="30" customHeight="1">
      <c r="A23" s="264"/>
      <c r="B23" s="279" t="str">
        <f>'12.lan'!D228</f>
        <v>SUMME</v>
      </c>
      <c r="C23" s="280">
        <f>'3. Calc'!I4</f>
        <v>0</v>
      </c>
      <c r="D23" s="281" t="str">
        <f>'12.lan'!$D$214</f>
        <v xml:space="preserve"> von </v>
      </c>
      <c r="E23" s="282">
        <f>'3. Calc'!J4</f>
        <v>1000</v>
      </c>
      <c r="F23" s="283">
        <f t="shared" si="0"/>
        <v>0</v>
      </c>
    </row>
    <row r="24" spans="1:7" ht="14.1" customHeight="1">
      <c r="A24" s="264"/>
      <c r="B24" s="264"/>
      <c r="C24" s="264"/>
      <c r="D24" s="265"/>
      <c r="E24" s="264"/>
      <c r="F24" s="266"/>
    </row>
  </sheetData>
  <sheetProtection algorithmName="SHA-512" hashValue="W7vDJ2Jy2I5QIRMxnIrRtzCuRxBbiDHh9K3jDXxneQ66TvpHBaNQjutnWxqb2Ce6LIGw4Z1I7+wfe0o5y3CB9g==" saltValue="hbzjvZ0nPCYWuqDoPw09sQ==" spinCount="100000" sheet="1" objects="1" scenarios="1" selectLockedCells="1" selectUnlockedCells="1"/>
  <mergeCells count="5">
    <mergeCell ref="B2:F2"/>
    <mergeCell ref="B3:F4"/>
    <mergeCell ref="B15:F15"/>
    <mergeCell ref="B16:F16"/>
    <mergeCell ref="B17:F17"/>
  </mergeCells>
  <conditionalFormatting sqref="F18:F22">
    <cfRule type="cellIs" dxfId="3" priority="2" operator="lessThan">
      <formula>0</formula>
    </cfRule>
  </conditionalFormatting>
  <conditionalFormatting sqref="F23">
    <cfRule type="cellIs" dxfId="2"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G39"/>
  <sheetViews>
    <sheetView showGridLines="0" topLeftCell="A18" zoomScale="75" zoomScaleNormal="75" workbookViewId="0">
      <selection activeCell="F34" sqref="F34"/>
    </sheetView>
  </sheetViews>
  <sheetFormatPr baseColWidth="10" defaultColWidth="10.7109375" defaultRowHeight="14.1" customHeight="1"/>
  <cols>
    <col min="1" max="1" width="2.7109375" style="260" customWidth="1"/>
    <col min="2" max="2" width="49.85546875" style="260" customWidth="1"/>
    <col min="3" max="3" width="7.28515625" style="260" customWidth="1"/>
    <col min="4" max="4" width="5.28515625" style="261" customWidth="1"/>
    <col min="5" max="5" width="6.7109375" style="260" customWidth="1"/>
    <col min="6" max="6" width="15" style="262" customWidth="1"/>
    <col min="7" max="7" width="10.7109375" style="263" customWidth="1"/>
    <col min="8" max="16384" width="10.7109375" style="260"/>
  </cols>
  <sheetData>
    <row r="1" spans="1:6" ht="14.1" customHeight="1">
      <c r="A1" s="264"/>
      <c r="B1" s="265"/>
      <c r="C1" s="266"/>
      <c r="D1" s="265"/>
      <c r="E1" s="267"/>
      <c r="F1" s="266"/>
    </row>
    <row r="2" spans="1:6" ht="14.1" customHeight="1">
      <c r="A2" s="264"/>
      <c r="B2" s="622" t="str">
        <f>'12.lan'!D91&amp;" - "&amp;'0. Intro'!B3&amp;" "&amp;'0. Intro'!C3</f>
        <v>Gemeinwohl-Bilanz-Rechner - Version 5.02</v>
      </c>
      <c r="C2" s="622"/>
      <c r="D2" s="622"/>
      <c r="E2" s="622"/>
      <c r="F2" s="622"/>
    </row>
    <row r="3" spans="1:6" ht="7.5" customHeight="1">
      <c r="A3" s="264"/>
      <c r="B3" s="623" t="str">
        <f>'12.lan'!D243&amp;'1. General'!C6</f>
        <v xml:space="preserve">Themen-Stern für </v>
      </c>
      <c r="C3" s="623"/>
      <c r="D3" s="623"/>
      <c r="E3" s="623"/>
      <c r="F3" s="623"/>
    </row>
    <row r="4" spans="1:6" ht="15" customHeight="1">
      <c r="A4" s="264"/>
      <c r="B4" s="623"/>
      <c r="C4" s="623"/>
      <c r="D4" s="623"/>
      <c r="E4" s="623"/>
      <c r="F4" s="623"/>
    </row>
    <row r="5" spans="1:6" ht="30" customHeight="1">
      <c r="A5" s="264"/>
      <c r="B5" s="268"/>
      <c r="C5" s="266"/>
      <c r="D5" s="265"/>
      <c r="E5" s="267"/>
      <c r="F5" s="266"/>
    </row>
    <row r="6" spans="1:6" ht="14.1" customHeight="1">
      <c r="A6" s="264"/>
      <c r="B6" s="268"/>
      <c r="C6" s="266"/>
      <c r="D6" s="265"/>
      <c r="E6" s="267"/>
      <c r="F6" s="266"/>
    </row>
    <row r="7" spans="1:6" ht="14.1" customHeight="1">
      <c r="A7" s="264"/>
      <c r="B7" s="268"/>
      <c r="C7" s="269"/>
      <c r="D7" s="269"/>
      <c r="E7" s="268"/>
      <c r="F7" s="264"/>
    </row>
    <row r="8" spans="1:6" ht="15" customHeight="1">
      <c r="A8" s="264"/>
      <c r="B8" s="266"/>
      <c r="C8" s="266"/>
      <c r="D8" s="265"/>
      <c r="E8" s="267"/>
      <c r="F8" s="266"/>
    </row>
    <row r="9" spans="1:6" ht="30" customHeight="1">
      <c r="A9" s="264"/>
      <c r="B9" s="270"/>
      <c r="C9" s="271"/>
      <c r="D9" s="272"/>
      <c r="E9" s="271"/>
      <c r="F9" s="273"/>
    </row>
    <row r="10" spans="1:6" ht="30" customHeight="1">
      <c r="A10" s="264"/>
      <c r="B10" s="270"/>
      <c r="C10" s="271"/>
      <c r="D10" s="272"/>
      <c r="E10" s="271"/>
      <c r="F10" s="273"/>
    </row>
    <row r="11" spans="1:6" ht="30" customHeight="1">
      <c r="A11" s="264"/>
      <c r="B11" s="270"/>
      <c r="C11" s="271"/>
      <c r="D11" s="272"/>
      <c r="E11" s="271"/>
      <c r="F11" s="273"/>
    </row>
    <row r="12" spans="1:6" ht="30" customHeight="1">
      <c r="A12" s="264"/>
      <c r="B12" s="270"/>
      <c r="C12" s="271"/>
      <c r="D12" s="272"/>
      <c r="E12" s="271"/>
      <c r="F12" s="273"/>
    </row>
    <row r="13" spans="1:6" ht="30" customHeight="1">
      <c r="A13" s="264"/>
      <c r="B13" s="270"/>
      <c r="C13" s="271"/>
      <c r="D13" s="272"/>
      <c r="E13" s="271"/>
      <c r="F13" s="273"/>
    </row>
    <row r="14" spans="1:6" ht="14.1" customHeight="1">
      <c r="A14" s="264"/>
      <c r="B14" s="264"/>
      <c r="C14" s="264"/>
      <c r="D14" s="265"/>
      <c r="E14" s="264"/>
      <c r="F14" s="266"/>
    </row>
    <row r="15" spans="1:6" ht="15" customHeight="1">
      <c r="A15" s="264"/>
      <c r="B15" s="624"/>
      <c r="C15" s="624"/>
      <c r="D15" s="624"/>
      <c r="E15" s="624"/>
      <c r="F15" s="624"/>
    </row>
    <row r="16" spans="1:6" ht="93.75" customHeight="1">
      <c r="A16" s="264"/>
      <c r="B16" s="625"/>
      <c r="C16" s="625"/>
      <c r="D16" s="625"/>
      <c r="E16" s="625"/>
      <c r="F16" s="625"/>
    </row>
    <row r="17" spans="1:7" ht="30" customHeight="1">
      <c r="A17" s="264"/>
      <c r="B17" s="626" t="str">
        <f>'12.lan'!D221</f>
        <v>BILANZ-ÜBERSICHT</v>
      </c>
      <c r="C17" s="626"/>
      <c r="D17" s="626"/>
      <c r="E17" s="626"/>
      <c r="F17" s="626"/>
    </row>
    <row r="18" spans="1:7" s="263" customFormat="1" ht="26.25" customHeight="1">
      <c r="A18" s="264"/>
      <c r="B18" s="274" t="s">
        <v>14</v>
      </c>
      <c r="C18" s="275">
        <f>'4. ECG-Matrix'!C9</f>
        <v>0</v>
      </c>
      <c r="D18" s="276" t="str">
        <f>'12.lan'!$D$214</f>
        <v xml:space="preserve"> von </v>
      </c>
      <c r="E18" s="277">
        <f>'4. ECG-Matrix'!E9</f>
        <v>51.282051282051277</v>
      </c>
      <c r="F18" s="528">
        <f t="shared" ref="F18:F38" si="0">C18/E18</f>
        <v>0</v>
      </c>
      <c r="G18" s="76">
        <f t="shared" ref="G18:G37" si="1">IF(F18&lt;0,0,F18)</f>
        <v>0</v>
      </c>
    </row>
    <row r="19" spans="1:7" s="263" customFormat="1" ht="26.25" customHeight="1">
      <c r="A19" s="264"/>
      <c r="B19" s="274" t="s">
        <v>17</v>
      </c>
      <c r="C19" s="275">
        <f>'4. ECG-Matrix'!G9</f>
        <v>0</v>
      </c>
      <c r="D19" s="276" t="str">
        <f>'12.lan'!$D$214</f>
        <v xml:space="preserve"> von </v>
      </c>
      <c r="E19" s="277">
        <f>'4. ECG-Matrix'!I9</f>
        <v>51.282051282051277</v>
      </c>
      <c r="F19" s="528">
        <f t="shared" si="0"/>
        <v>0</v>
      </c>
      <c r="G19" s="76">
        <f t="shared" si="1"/>
        <v>0</v>
      </c>
    </row>
    <row r="20" spans="1:7" s="263" customFormat="1" ht="26.25" customHeight="1">
      <c r="A20" s="264"/>
      <c r="B20" s="274" t="s">
        <v>21</v>
      </c>
      <c r="C20" s="275">
        <f>'4. ECG-Matrix'!K9</f>
        <v>0</v>
      </c>
      <c r="D20" s="276" t="str">
        <f>'12.lan'!$D$214</f>
        <v xml:space="preserve"> von </v>
      </c>
      <c r="E20" s="277">
        <f>'4. ECG-Matrix'!M9</f>
        <v>51.282051282051277</v>
      </c>
      <c r="F20" s="528">
        <f t="shared" si="0"/>
        <v>0</v>
      </c>
      <c r="G20" s="76">
        <f t="shared" si="1"/>
        <v>0</v>
      </c>
    </row>
    <row r="21" spans="1:7" s="263" customFormat="1" ht="26.25" customHeight="1">
      <c r="A21" s="264"/>
      <c r="B21" s="274" t="s">
        <v>24</v>
      </c>
      <c r="C21" s="275">
        <f>'4. ECG-Matrix'!O9</f>
        <v>0</v>
      </c>
      <c r="D21" s="276" t="str">
        <f>'12.lan'!$D$214</f>
        <v xml:space="preserve"> von </v>
      </c>
      <c r="E21" s="277">
        <f>'4. ECG-Matrix'!Q9</f>
        <v>25.641025641025639</v>
      </c>
      <c r="F21" s="528">
        <f t="shared" si="0"/>
        <v>0</v>
      </c>
      <c r="G21" s="76">
        <f t="shared" si="1"/>
        <v>0</v>
      </c>
    </row>
    <row r="22" spans="1:7" s="263" customFormat="1" ht="26.25" customHeight="1">
      <c r="A22" s="264"/>
      <c r="B22" s="274" t="s">
        <v>28</v>
      </c>
      <c r="C22" s="275">
        <f>'4. ECG-Matrix'!C11</f>
        <v>0</v>
      </c>
      <c r="D22" s="276" t="str">
        <f>'12.lan'!$D$214</f>
        <v xml:space="preserve"> von </v>
      </c>
      <c r="E22" s="277">
        <f>'4. ECG-Matrix'!E11</f>
        <v>51.282051282051277</v>
      </c>
      <c r="F22" s="528">
        <f t="shared" si="0"/>
        <v>0</v>
      </c>
      <c r="G22" s="76">
        <f t="shared" si="1"/>
        <v>0</v>
      </c>
    </row>
    <row r="23" spans="1:7" s="263" customFormat="1" ht="26.25" customHeight="1">
      <c r="A23" s="264"/>
      <c r="B23" s="274" t="s">
        <v>32</v>
      </c>
      <c r="C23" s="275">
        <f>'4. ECG-Matrix'!G11</f>
        <v>0</v>
      </c>
      <c r="D23" s="276" t="str">
        <f>'12.lan'!$D$214</f>
        <v xml:space="preserve"> von </v>
      </c>
      <c r="E23" s="277">
        <f>'4. ECG-Matrix'!I11</f>
        <v>51.282051282051277</v>
      </c>
      <c r="F23" s="528">
        <f t="shared" si="0"/>
        <v>0</v>
      </c>
      <c r="G23" s="76">
        <f t="shared" si="1"/>
        <v>0</v>
      </c>
    </row>
    <row r="24" spans="1:7" s="263" customFormat="1" ht="26.25" customHeight="1">
      <c r="A24" s="264"/>
      <c r="B24" s="274" t="s">
        <v>35</v>
      </c>
      <c r="C24" s="275">
        <f>'4. ECG-Matrix'!K11</f>
        <v>0</v>
      </c>
      <c r="D24" s="276" t="str">
        <f>'12.lan'!$D$214</f>
        <v xml:space="preserve"> von </v>
      </c>
      <c r="E24" s="277">
        <f>'4. ECG-Matrix'!M11</f>
        <v>51.282051282051277</v>
      </c>
      <c r="F24" s="528">
        <f t="shared" si="0"/>
        <v>0</v>
      </c>
      <c r="G24" s="76">
        <f t="shared" si="1"/>
        <v>0</v>
      </c>
    </row>
    <row r="25" spans="1:7" s="263" customFormat="1" ht="26.25" customHeight="1">
      <c r="A25" s="264"/>
      <c r="B25" s="274" t="s">
        <v>39</v>
      </c>
      <c r="C25" s="275">
        <f>'4. ECG-Matrix'!O11</f>
        <v>0</v>
      </c>
      <c r="D25" s="276" t="str">
        <f>'12.lan'!$D$214</f>
        <v xml:space="preserve"> von </v>
      </c>
      <c r="E25" s="277">
        <f>'4. ECG-Matrix'!Q11</f>
        <v>51.282051282051277</v>
      </c>
      <c r="F25" s="528">
        <f t="shared" si="0"/>
        <v>0</v>
      </c>
      <c r="G25" s="76">
        <f t="shared" si="1"/>
        <v>0</v>
      </c>
    </row>
    <row r="26" spans="1:7" s="263" customFormat="1" ht="26.25" customHeight="1">
      <c r="A26" s="264"/>
      <c r="B26" s="274" t="s">
        <v>43</v>
      </c>
      <c r="C26" s="275">
        <f>'4. ECG-Matrix'!C13</f>
        <v>0</v>
      </c>
      <c r="D26" s="276" t="str">
        <f>'12.lan'!$D$214</f>
        <v xml:space="preserve"> von </v>
      </c>
      <c r="E26" s="277">
        <f>'4. ECG-Matrix'!E13</f>
        <v>51.282051282051277</v>
      </c>
      <c r="F26" s="528">
        <f t="shared" si="0"/>
        <v>0</v>
      </c>
      <c r="G26" s="76">
        <f t="shared" si="1"/>
        <v>0</v>
      </c>
    </row>
    <row r="27" spans="1:7" s="263" customFormat="1" ht="26.25" customHeight="1">
      <c r="A27" s="264"/>
      <c r="B27" s="274" t="s">
        <v>48</v>
      </c>
      <c r="C27" s="275">
        <f>'4. ECG-Matrix'!G13</f>
        <v>0</v>
      </c>
      <c r="D27" s="276" t="str">
        <f>'12.lan'!$D$214</f>
        <v xml:space="preserve"> von </v>
      </c>
      <c r="E27" s="277">
        <f>'4. ECG-Matrix'!I13</f>
        <v>51.282051282051277</v>
      </c>
      <c r="F27" s="528">
        <f t="shared" si="0"/>
        <v>0</v>
      </c>
      <c r="G27" s="76">
        <f t="shared" si="1"/>
        <v>0</v>
      </c>
    </row>
    <row r="28" spans="1:7" s="263" customFormat="1" ht="26.25" customHeight="1">
      <c r="A28" s="264"/>
      <c r="B28" s="274" t="s">
        <v>53</v>
      </c>
      <c r="C28" s="275">
        <f>'4. ECG-Matrix'!K13</f>
        <v>0</v>
      </c>
      <c r="D28" s="276" t="str">
        <f>'12.lan'!$D$214</f>
        <v xml:space="preserve"> von </v>
      </c>
      <c r="E28" s="277">
        <f>'4. ECG-Matrix'!M13</f>
        <v>51.282051282051277</v>
      </c>
      <c r="F28" s="528">
        <f t="shared" si="0"/>
        <v>0</v>
      </c>
      <c r="G28" s="76">
        <f t="shared" si="1"/>
        <v>0</v>
      </c>
    </row>
    <row r="29" spans="1:7" s="263" customFormat="1" ht="26.25" customHeight="1">
      <c r="A29" s="264"/>
      <c r="B29" s="274" t="s">
        <v>58</v>
      </c>
      <c r="C29" s="275">
        <f>'4. ECG-Matrix'!O13</f>
        <v>0</v>
      </c>
      <c r="D29" s="276" t="str">
        <f>'12.lan'!$D$214</f>
        <v xml:space="preserve"> von </v>
      </c>
      <c r="E29" s="277">
        <f>'4. ECG-Matrix'!Q13</f>
        <v>51.282051282051277</v>
      </c>
      <c r="F29" s="528">
        <f t="shared" si="0"/>
        <v>0</v>
      </c>
      <c r="G29" s="76">
        <f t="shared" si="1"/>
        <v>0</v>
      </c>
    </row>
    <row r="30" spans="1:7" s="263" customFormat="1" ht="26.25" customHeight="1">
      <c r="A30" s="264"/>
      <c r="B30" s="274" t="s">
        <v>64</v>
      </c>
      <c r="C30" s="275">
        <f>'4. ECG-Matrix'!C15</f>
        <v>0</v>
      </c>
      <c r="D30" s="276" t="str">
        <f>'12.lan'!$D$214</f>
        <v xml:space="preserve"> von </v>
      </c>
      <c r="E30" s="277">
        <f>'4. ECG-Matrix'!E15</f>
        <v>51.282051282051277</v>
      </c>
      <c r="F30" s="528">
        <f t="shared" si="0"/>
        <v>0</v>
      </c>
      <c r="G30" s="76">
        <f t="shared" si="1"/>
        <v>0</v>
      </c>
    </row>
    <row r="31" spans="1:7" s="263" customFormat="1" ht="26.25" customHeight="1">
      <c r="A31" s="264"/>
      <c r="B31" s="274" t="s">
        <v>68</v>
      </c>
      <c r="C31" s="275">
        <f>'4. ECG-Matrix'!G15</f>
        <v>0</v>
      </c>
      <c r="D31" s="276" t="str">
        <f>'12.lan'!$D$214</f>
        <v xml:space="preserve"> von </v>
      </c>
      <c r="E31" s="277">
        <f>'4. ECG-Matrix'!I15</f>
        <v>51.282051282051277</v>
      </c>
      <c r="F31" s="528">
        <f t="shared" si="0"/>
        <v>0</v>
      </c>
      <c r="G31" s="76">
        <f t="shared" si="1"/>
        <v>0</v>
      </c>
    </row>
    <row r="32" spans="1:7" s="263" customFormat="1" ht="26.25" customHeight="1">
      <c r="A32" s="264"/>
      <c r="B32" s="274" t="s">
        <v>72</v>
      </c>
      <c r="C32" s="275">
        <f>'4. ECG-Matrix'!K15</f>
        <v>0</v>
      </c>
      <c r="D32" s="276" t="str">
        <f>'12.lan'!$D$214</f>
        <v xml:space="preserve"> von </v>
      </c>
      <c r="E32" s="277">
        <f>'4. ECG-Matrix'!M15</f>
        <v>51.282051282051277</v>
      </c>
      <c r="F32" s="528">
        <f t="shared" si="0"/>
        <v>0</v>
      </c>
      <c r="G32" s="76">
        <f t="shared" si="1"/>
        <v>0</v>
      </c>
    </row>
    <row r="33" spans="1:7" s="263" customFormat="1" ht="26.25" customHeight="1">
      <c r="A33" s="264"/>
      <c r="B33" s="274" t="s">
        <v>76</v>
      </c>
      <c r="C33" s="275">
        <f>'4. ECG-Matrix'!O15</f>
        <v>0</v>
      </c>
      <c r="D33" s="276" t="str">
        <f>'12.lan'!$D$214</f>
        <v xml:space="preserve"> von </v>
      </c>
      <c r="E33" s="277">
        <f>'4. ECG-Matrix'!Q15</f>
        <v>51.282051282051277</v>
      </c>
      <c r="F33" s="528">
        <f t="shared" si="0"/>
        <v>0</v>
      </c>
      <c r="G33" s="76">
        <f t="shared" si="1"/>
        <v>0</v>
      </c>
    </row>
    <row r="34" spans="1:7" s="263" customFormat="1" ht="26.25" customHeight="1">
      <c r="A34" s="264"/>
      <c r="B34" s="274" t="s">
        <v>80</v>
      </c>
      <c r="C34" s="275">
        <f>'4. ECG-Matrix'!C17</f>
        <v>0</v>
      </c>
      <c r="D34" s="276" t="str">
        <f>'12.lan'!$D$214</f>
        <v xml:space="preserve"> von </v>
      </c>
      <c r="E34" s="277">
        <f>'4. ECG-Matrix'!E17</f>
        <v>51.282051282051277</v>
      </c>
      <c r="F34" s="528">
        <f t="shared" si="0"/>
        <v>0</v>
      </c>
      <c r="G34" s="76">
        <f t="shared" si="1"/>
        <v>0</v>
      </c>
    </row>
    <row r="35" spans="1:7" s="263" customFormat="1" ht="26.25" customHeight="1">
      <c r="A35" s="264"/>
      <c r="B35" s="274" t="s">
        <v>84</v>
      </c>
      <c r="C35" s="275">
        <f>'4. ECG-Matrix'!G17</f>
        <v>0</v>
      </c>
      <c r="D35" s="276" t="str">
        <f>'12.lan'!$D$214</f>
        <v xml:space="preserve"> von </v>
      </c>
      <c r="E35" s="277">
        <f>'4. ECG-Matrix'!I17</f>
        <v>51.282051282051277</v>
      </c>
      <c r="F35" s="528">
        <f t="shared" si="0"/>
        <v>0</v>
      </c>
      <c r="G35" s="76">
        <f t="shared" si="1"/>
        <v>0</v>
      </c>
    </row>
    <row r="36" spans="1:7" s="263" customFormat="1" ht="26.25" customHeight="1">
      <c r="A36" s="264"/>
      <c r="B36" s="274" t="s">
        <v>89</v>
      </c>
      <c r="C36" s="275">
        <f>'4. ECG-Matrix'!K17</f>
        <v>0</v>
      </c>
      <c r="D36" s="276" t="str">
        <f>'12.lan'!$D$214</f>
        <v xml:space="preserve"> von </v>
      </c>
      <c r="E36" s="277">
        <f>'4. ECG-Matrix'!M17</f>
        <v>51.282051282051277</v>
      </c>
      <c r="F36" s="528">
        <f t="shared" si="0"/>
        <v>0</v>
      </c>
      <c r="G36" s="76">
        <f t="shared" si="1"/>
        <v>0</v>
      </c>
    </row>
    <row r="37" spans="1:7" s="263" customFormat="1" ht="26.25" customHeight="1">
      <c r="A37" s="264"/>
      <c r="B37" s="274" t="s">
        <v>93</v>
      </c>
      <c r="C37" s="275">
        <f>'4. ECG-Matrix'!O17</f>
        <v>0</v>
      </c>
      <c r="D37" s="276" t="str">
        <f>'12.lan'!$D$214</f>
        <v xml:space="preserve"> von </v>
      </c>
      <c r="E37" s="277">
        <f>'4. ECG-Matrix'!Q17</f>
        <v>51.282051282051277</v>
      </c>
      <c r="F37" s="528">
        <f t="shared" si="0"/>
        <v>0</v>
      </c>
      <c r="G37" s="76">
        <f t="shared" si="1"/>
        <v>0</v>
      </c>
    </row>
    <row r="38" spans="1:7" s="263" customFormat="1" ht="30" customHeight="1">
      <c r="A38" s="264"/>
      <c r="B38" s="279" t="str">
        <f>'12.lan'!D228</f>
        <v>SUMME</v>
      </c>
      <c r="C38" s="280">
        <f>'3. Calc'!I4</f>
        <v>0</v>
      </c>
      <c r="D38" s="284" t="str">
        <f>'12.lan'!$D$214</f>
        <v xml:space="preserve"> von </v>
      </c>
      <c r="E38" s="282">
        <f>'3. Calc'!J4</f>
        <v>1000</v>
      </c>
      <c r="F38" s="529">
        <f t="shared" si="0"/>
        <v>0</v>
      </c>
    </row>
    <row r="39" spans="1:7" s="263" customFormat="1" ht="14.1" customHeight="1">
      <c r="A39" s="264"/>
      <c r="B39" s="264"/>
      <c r="C39" s="264"/>
      <c r="D39" s="265"/>
      <c r="E39" s="264"/>
      <c r="F39" s="266"/>
    </row>
  </sheetData>
  <sheetProtection algorithmName="SHA-512" hashValue="qkR+hGcrxIvif0yBfvRRxtSBGIgBAvRowFheoAAE/KZGVIH3cS6rfCZJ2BlKsm+4jHjB3Tq7PeiVA7nWKCdoYg==" saltValue="nfDcNA+FazMkEvDJgD7iBQ==" spinCount="100000" sheet="1" objects="1" scenarios="1"/>
  <mergeCells count="5">
    <mergeCell ref="B2:F2"/>
    <mergeCell ref="B3:F4"/>
    <mergeCell ref="B15:F15"/>
    <mergeCell ref="B16:F16"/>
    <mergeCell ref="B17:F17"/>
  </mergeCells>
  <conditionalFormatting sqref="F18:F37">
    <cfRule type="cellIs" dxfId="1" priority="2" operator="lessThan">
      <formula>0</formula>
    </cfRule>
  </conditionalFormatting>
  <conditionalFormatting sqref="F38">
    <cfRule type="cellIs" dxfId="0"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5</vt:i4>
      </vt:variant>
    </vt:vector>
  </HeadingPairs>
  <TitlesOfParts>
    <vt:vector size="19" baseType="lpstr">
      <vt:lpstr>0. Intro</vt:lpstr>
      <vt:lpstr>1. General</vt:lpstr>
      <vt:lpstr>2. Company Facts</vt:lpstr>
      <vt:lpstr>3. Calc</vt:lpstr>
      <vt:lpstr>9. Weighting</vt:lpstr>
      <vt:lpstr>4. ECG-Matrix</vt:lpstr>
      <vt:lpstr>5. Values</vt:lpstr>
      <vt:lpstr>6. Stakeholder</vt:lpstr>
      <vt:lpstr>7. Topics</vt:lpstr>
      <vt:lpstr>8. Descr.Weighting</vt:lpstr>
      <vt:lpstr>10. Industry</vt:lpstr>
      <vt:lpstr>11.Region</vt:lpstr>
      <vt:lpstr>12.ppp data</vt:lpstr>
      <vt:lpstr>12.lan</vt:lpstr>
      <vt:lpstr>Branche</vt:lpstr>
      <vt:lpstr>Branchen</vt:lpstr>
      <vt:lpstr>CountryCodes</vt:lpstr>
      <vt:lpstr>JaNein</vt:lpstr>
      <vt:lpstr>Regionen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Usuario6</dc:creator>
  <cp:lastModifiedBy>Roland</cp:lastModifiedBy>
  <dcterms:created xsi:type="dcterms:W3CDTF">2018-07-24T07:18:55Z</dcterms:created>
  <dcterms:modified xsi:type="dcterms:W3CDTF">2018-10-29T22:30:19Z</dcterms:modified>
</cp:coreProperties>
</file>