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mc:AlternateContent xmlns:mc="http://schemas.openxmlformats.org/markup-compatibility/2006">
    <mc:Choice Requires="x15">
      <x15ac:absPath xmlns:x15ac="http://schemas.microsoft.com/office/spreadsheetml/2010/11/ac" url="C:\rw\transfer\ReWiG_GWÖ\GWÖ Orga\Peergroup Landsberg\Arbeitsmittel\"/>
    </mc:Choice>
  </mc:AlternateContent>
  <xr:revisionPtr revIDLastSave="0" documentId="13_ncr:1_{30F5CBDC-E9C5-44E0-85BD-4A424F8DE6DC}" xr6:coauthVersionLast="37" xr6:coauthVersionMax="37" xr10:uidLastSave="{00000000-0000-0000-0000-000000000000}"/>
  <bookViews>
    <workbookView xWindow="0" yWindow="0" windowWidth="15360" windowHeight="7245" tabRatio="500" xr2:uid="{00000000-000D-0000-FFFF-FFFF00000000}"/>
  </bookViews>
  <sheets>
    <sheet name="0. Intro" sheetId="1" r:id="rId1"/>
    <sheet name="1. General" sheetId="2" r:id="rId2"/>
    <sheet name="2. Company Facts" sheetId="3" r:id="rId3"/>
    <sheet name="3. Calc" sheetId="4" r:id="rId4"/>
    <sheet name="9. Weighting" sheetId="5" state="hidden" r:id="rId5"/>
    <sheet name="4. ECG-Matrix" sheetId="6" r:id="rId6"/>
    <sheet name="5. Values" sheetId="7" r:id="rId7"/>
    <sheet name="6. Stakeholder" sheetId="8" r:id="rId8"/>
    <sheet name="7. Topics" sheetId="9" r:id="rId9"/>
    <sheet name="8. Descr.Weighting" sheetId="10" r:id="rId10"/>
    <sheet name="10. Industry" sheetId="11" state="hidden" r:id="rId11"/>
    <sheet name="11.Region" sheetId="12" state="hidden" r:id="rId12"/>
    <sheet name="12.ppp data" sheetId="15" state="hidden" r:id="rId13"/>
    <sheet name="12.lan" sheetId="13" state="hidden" r:id="rId14"/>
  </sheets>
  <definedNames>
    <definedName name="__xlfn_IFERROR">#N/A</definedName>
    <definedName name="Branche">'10. Industry'!$B$4:$B$32</definedName>
    <definedName name="Branchen">'10. Industry'!$B$4:$B$32</definedName>
    <definedName name="CountryCodes">'11.Region'!$A$22:$A$243</definedName>
    <definedName name="JaNein">'2. Company Facts'!$D$34:$F$34</definedName>
    <definedName name="Regionen">'11.Region'!$A$21:$A$243</definedName>
  </definedNames>
  <calcPr calcId="162913"/>
</workbook>
</file>

<file path=xl/calcChain.xml><?xml version="1.0" encoding="utf-8"?>
<calcChain xmlns="http://schemas.openxmlformats.org/spreadsheetml/2006/main">
  <c r="O60" i="4" l="1"/>
  <c r="D10" i="4" l="1"/>
  <c r="B71" i="4"/>
  <c r="B68" i="4"/>
  <c r="B64" i="4"/>
  <c r="B61" i="4"/>
  <c r="B57" i="4"/>
  <c r="B51" i="4"/>
  <c r="B48" i="4"/>
  <c r="K47" i="4"/>
  <c r="B44" i="4"/>
  <c r="K43" i="4"/>
  <c r="B41" i="4"/>
  <c r="K40" i="4"/>
  <c r="B38" i="4"/>
  <c r="K37" i="4"/>
  <c r="B35" i="4"/>
  <c r="K34" i="4"/>
  <c r="B31" i="4"/>
  <c r="B28" i="4"/>
  <c r="K27" i="4"/>
  <c r="B25" i="4"/>
  <c r="K22" i="4"/>
  <c r="B23" i="4"/>
  <c r="B20" i="4"/>
  <c r="B17" i="4"/>
  <c r="B14" i="4"/>
  <c r="K19" i="4"/>
  <c r="K13" i="4"/>
  <c r="B11" i="4"/>
  <c r="M3" i="1" l="1"/>
  <c r="M4" i="1"/>
  <c r="M5" i="1"/>
  <c r="M6" i="1"/>
  <c r="M7" i="1"/>
  <c r="M8" i="1"/>
  <c r="M9" i="1"/>
  <c r="M10" i="1"/>
  <c r="M11" i="1"/>
  <c r="M12" i="1"/>
  <c r="M2" i="1"/>
  <c r="F43" i="3" l="1"/>
  <c r="D7" i="3"/>
  <c r="I44" i="13"/>
  <c r="J44" i="13"/>
  <c r="K44" i="13"/>
  <c r="C2" i="13"/>
  <c r="C1" i="13" s="1"/>
  <c r="D431" i="13" s="1"/>
  <c r="A114" i="12" s="1"/>
  <c r="C4" i="13"/>
  <c r="C5" i="13"/>
  <c r="C6" i="13"/>
  <c r="C7" i="13"/>
  <c r="C8" i="13"/>
  <c r="C9" i="13"/>
  <c r="C10" i="13"/>
  <c r="C11" i="13"/>
  <c r="C12" i="13"/>
  <c r="C3" i="13"/>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137" i="12"/>
  <c r="D136" i="12"/>
  <c r="D135" i="12"/>
  <c r="D134" i="12"/>
  <c r="D133" i="12"/>
  <c r="D132" i="12"/>
  <c r="D131" i="12"/>
  <c r="D130" i="12"/>
  <c r="D129" i="12"/>
  <c r="D128" i="12"/>
  <c r="D127" i="12"/>
  <c r="D126" i="12"/>
  <c r="D125" i="12"/>
  <c r="D124" i="12"/>
  <c r="D123" i="12"/>
  <c r="D122" i="12"/>
  <c r="D121" i="12"/>
  <c r="D120" i="12"/>
  <c r="D119" i="12"/>
  <c r="D118" i="12"/>
  <c r="D117" i="12"/>
  <c r="D116" i="12"/>
  <c r="D115" i="12"/>
  <c r="D114" i="12"/>
  <c r="D113" i="12"/>
  <c r="D112" i="12"/>
  <c r="D111" i="12"/>
  <c r="D110" i="12"/>
  <c r="D109" i="12"/>
  <c r="D108" i="12"/>
  <c r="D107" i="12"/>
  <c r="D106" i="12"/>
  <c r="D105" i="12"/>
  <c r="D104" i="12"/>
  <c r="D103" i="12"/>
  <c r="D102"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H4" i="15"/>
  <c r="H30" i="15"/>
  <c r="H15" i="15"/>
  <c r="H152" i="15"/>
  <c r="H191" i="15"/>
  <c r="H200" i="15"/>
  <c r="H266" i="15"/>
  <c r="H203" i="15"/>
  <c r="H131" i="15"/>
  <c r="H102" i="15"/>
  <c r="H101" i="15"/>
  <c r="H100" i="15"/>
  <c r="H72" i="15"/>
  <c r="H148" i="15"/>
  <c r="H58" i="15"/>
  <c r="H61" i="15"/>
  <c r="H265" i="15"/>
  <c r="H192" i="15"/>
  <c r="H42" i="15"/>
  <c r="H40" i="15"/>
  <c r="H206" i="15"/>
  <c r="H124" i="15"/>
  <c r="H45" i="15"/>
  <c r="H78" i="15"/>
  <c r="H264" i="15"/>
  <c r="H263" i="15"/>
  <c r="H210" i="15"/>
  <c r="H262" i="15"/>
  <c r="H138" i="15"/>
  <c r="H261" i="15"/>
  <c r="H119" i="15"/>
  <c r="H146" i="15"/>
  <c r="H126" i="15"/>
  <c r="H23" i="15"/>
  <c r="H260" i="15"/>
  <c r="H259" i="15"/>
  <c r="H38" i="15"/>
  <c r="H99" i="15"/>
  <c r="H151" i="15"/>
  <c r="H8" i="15"/>
  <c r="H98" i="15"/>
  <c r="H27" i="15"/>
  <c r="H159" i="15"/>
  <c r="H172" i="15"/>
  <c r="H178" i="15"/>
  <c r="H88" i="15"/>
  <c r="H3" i="15"/>
  <c r="H258" i="15"/>
  <c r="H257" i="15"/>
  <c r="H56" i="15"/>
  <c r="H256" i="15"/>
  <c r="H188" i="15"/>
  <c r="H55" i="15"/>
  <c r="H170" i="15"/>
  <c r="H82" i="15"/>
  <c r="H41" i="15"/>
  <c r="H205" i="15"/>
  <c r="H111" i="15"/>
  <c r="H26" i="15"/>
  <c r="H6" i="15"/>
  <c r="H122" i="15"/>
  <c r="H255" i="15"/>
  <c r="H33" i="15"/>
  <c r="H182" i="15"/>
  <c r="H183" i="15"/>
  <c r="H116" i="15"/>
  <c r="H218" i="15"/>
  <c r="H254" i="15"/>
  <c r="H253" i="15"/>
  <c r="H103" i="15"/>
  <c r="H84" i="15"/>
  <c r="H174" i="15"/>
  <c r="H150" i="15"/>
  <c r="H97" i="15"/>
  <c r="H252" i="15"/>
  <c r="H154" i="15"/>
  <c r="H211" i="15"/>
  <c r="H204" i="15"/>
  <c r="H129" i="15"/>
  <c r="H80" i="15"/>
  <c r="H71" i="15"/>
  <c r="H143" i="15"/>
  <c r="H251" i="15"/>
  <c r="H125" i="15"/>
  <c r="H250" i="15"/>
  <c r="H202" i="15"/>
  <c r="H212" i="15"/>
  <c r="H136" i="15"/>
  <c r="H153" i="15"/>
  <c r="H163" i="15"/>
  <c r="H89" i="15"/>
  <c r="H43" i="15"/>
  <c r="H32" i="15"/>
  <c r="H217" i="15"/>
  <c r="H11" i="15"/>
  <c r="H249" i="15"/>
  <c r="H133" i="15"/>
  <c r="H49" i="15"/>
  <c r="H12" i="15"/>
  <c r="H48" i="15"/>
  <c r="H39" i="15"/>
  <c r="H216" i="15"/>
  <c r="H142" i="15"/>
  <c r="H184" i="15"/>
  <c r="H248" i="15"/>
  <c r="H149" i="15"/>
  <c r="H155" i="15"/>
  <c r="H31" i="15"/>
  <c r="H190" i="15"/>
  <c r="H247" i="15"/>
  <c r="H207" i="15"/>
  <c r="H81" i="15"/>
  <c r="H246" i="15"/>
  <c r="H110" i="15"/>
  <c r="H46" i="15"/>
  <c r="H185" i="15"/>
  <c r="H199" i="15"/>
  <c r="H34" i="15"/>
  <c r="H96" i="15"/>
  <c r="H109" i="15"/>
  <c r="H176" i="15"/>
  <c r="H161" i="15"/>
  <c r="H180" i="15"/>
  <c r="H245" i="15"/>
  <c r="H28" i="15"/>
  <c r="H244" i="15"/>
  <c r="H243" i="15"/>
  <c r="H137" i="15"/>
  <c r="H198" i="15"/>
  <c r="H242" i="15"/>
  <c r="H241" i="15"/>
  <c r="H240" i="15"/>
  <c r="H66" i="15"/>
  <c r="H20" i="15"/>
  <c r="H52" i="15"/>
  <c r="H112" i="15"/>
  <c r="H128" i="15"/>
  <c r="H239" i="15"/>
  <c r="H120" i="15"/>
  <c r="H106" i="15"/>
  <c r="H70" i="15"/>
  <c r="H209" i="15"/>
  <c r="H130" i="15"/>
  <c r="H135" i="15"/>
  <c r="H14" i="15"/>
  <c r="H134" i="15"/>
  <c r="H105" i="15"/>
  <c r="H117" i="15"/>
  <c r="H74" i="15"/>
  <c r="H169" i="15"/>
  <c r="H104" i="15"/>
  <c r="H156" i="15"/>
  <c r="H140" i="15"/>
  <c r="H145" i="15"/>
  <c r="H164" i="15"/>
  <c r="H238" i="15"/>
  <c r="H144" i="15"/>
  <c r="H197" i="15"/>
  <c r="H237" i="15"/>
  <c r="H139" i="15"/>
  <c r="H236" i="15"/>
  <c r="H235" i="15"/>
  <c r="H234" i="15"/>
  <c r="H233" i="15"/>
  <c r="H181" i="15"/>
  <c r="H87" i="15"/>
  <c r="H179" i="15"/>
  <c r="H232" i="15"/>
  <c r="H79" i="15"/>
  <c r="H107" i="15"/>
  <c r="H231" i="15"/>
  <c r="H73" i="15"/>
  <c r="H215" i="15"/>
  <c r="H76" i="15"/>
  <c r="H95" i="15"/>
  <c r="H64" i="15"/>
  <c r="H173" i="15"/>
  <c r="H22" i="15"/>
  <c r="H17" i="15"/>
  <c r="H47" i="15"/>
  <c r="H29" i="15"/>
  <c r="H196" i="15"/>
  <c r="H37" i="15"/>
  <c r="H123" i="15"/>
  <c r="H165" i="15"/>
  <c r="H21" i="15"/>
  <c r="H208" i="15"/>
  <c r="H195" i="15"/>
  <c r="H167" i="15"/>
  <c r="H213" i="15"/>
  <c r="H160" i="15"/>
  <c r="H230" i="15"/>
  <c r="H229" i="15"/>
  <c r="H25" i="15"/>
  <c r="H175" i="15"/>
  <c r="H171" i="15"/>
  <c r="H54" i="15"/>
  <c r="H228" i="15"/>
  <c r="H51" i="15"/>
  <c r="H77" i="15"/>
  <c r="H227" i="15"/>
  <c r="H226" i="15"/>
  <c r="H225" i="15"/>
  <c r="H224" i="15"/>
  <c r="H223" i="15"/>
  <c r="H50" i="15"/>
  <c r="H85" i="15"/>
  <c r="H158" i="15"/>
  <c r="H62" i="15"/>
  <c r="H53" i="15"/>
  <c r="H168" i="15"/>
  <c r="H177" i="15"/>
  <c r="H108" i="15"/>
  <c r="H94" i="15"/>
  <c r="H93" i="15"/>
  <c r="H92" i="15"/>
  <c r="H222" i="15"/>
  <c r="H63" i="15"/>
  <c r="H13" i="15"/>
  <c r="H10" i="15"/>
  <c r="H86" i="15"/>
  <c r="H44" i="15"/>
  <c r="H9" i="15"/>
  <c r="H24" i="15"/>
  <c r="H19" i="15"/>
  <c r="H114" i="15"/>
  <c r="H67" i="15"/>
  <c r="H221" i="15"/>
  <c r="H157" i="15"/>
  <c r="H220" i="15"/>
  <c r="H59" i="15"/>
  <c r="H7" i="15"/>
  <c r="H16" i="15"/>
  <c r="H132" i="15"/>
  <c r="H127" i="15"/>
  <c r="H60" i="15"/>
  <c r="H69" i="15"/>
  <c r="H83" i="15"/>
  <c r="H91" i="15"/>
  <c r="H75" i="15"/>
  <c r="H193" i="15"/>
  <c r="H186" i="15"/>
  <c r="H57" i="15"/>
  <c r="H115" i="15"/>
  <c r="H187" i="15"/>
  <c r="H121" i="15"/>
  <c r="H36" i="15"/>
  <c r="H35" i="15"/>
  <c r="H162" i="15"/>
  <c r="H18" i="15"/>
  <c r="H147" i="15"/>
  <c r="H166" i="15"/>
  <c r="H201" i="15"/>
  <c r="H68" i="15"/>
  <c r="H214" i="15"/>
  <c r="H118" i="15"/>
  <c r="H65" i="15"/>
  <c r="H113" i="15"/>
  <c r="H219" i="15"/>
  <c r="H194" i="15"/>
  <c r="H189" i="15"/>
  <c r="H5" i="15"/>
  <c r="H141" i="15"/>
  <c r="H90" i="15"/>
  <c r="G4" i="15"/>
  <c r="G30" i="15"/>
  <c r="I30" i="15" s="1"/>
  <c r="C236" i="12" s="1"/>
  <c r="G15" i="15"/>
  <c r="I15" i="15" s="1"/>
  <c r="C235" i="12" s="1"/>
  <c r="G152" i="15"/>
  <c r="G191" i="15"/>
  <c r="I191" i="15" s="1"/>
  <c r="C233" i="12" s="1"/>
  <c r="G200" i="15"/>
  <c r="I200" i="15" s="1"/>
  <c r="C232" i="12" s="1"/>
  <c r="G266" i="15"/>
  <c r="G203" i="15"/>
  <c r="I203" i="15" s="1"/>
  <c r="C231" i="12" s="1"/>
  <c r="G131" i="15"/>
  <c r="I131" i="15" s="1"/>
  <c r="C230" i="12" s="1"/>
  <c r="G102" i="15"/>
  <c r="G101" i="15"/>
  <c r="G100" i="15"/>
  <c r="G72" i="15"/>
  <c r="I72" i="15" s="1"/>
  <c r="C226" i="12" s="1"/>
  <c r="G148" i="15"/>
  <c r="I148" i="15" s="1"/>
  <c r="C225" i="12" s="1"/>
  <c r="G58" i="15"/>
  <c r="I58" i="15" s="1"/>
  <c r="C224" i="12" s="1"/>
  <c r="G61" i="15"/>
  <c r="I61" i="15" s="1"/>
  <c r="C223" i="12" s="1"/>
  <c r="G265" i="15"/>
  <c r="G192" i="15"/>
  <c r="I192" i="15" s="1"/>
  <c r="C222" i="12" s="1"/>
  <c r="G42" i="15"/>
  <c r="I42" i="15" s="1"/>
  <c r="C221" i="12" s="1"/>
  <c r="G40" i="15"/>
  <c r="I40" i="15" s="1"/>
  <c r="C220" i="12" s="1"/>
  <c r="G206" i="15"/>
  <c r="I206" i="15" s="1"/>
  <c r="C219" i="12" s="1"/>
  <c r="G124" i="15"/>
  <c r="I124" i="15" s="1"/>
  <c r="C218" i="12" s="1"/>
  <c r="G45" i="15"/>
  <c r="I45" i="15" s="1"/>
  <c r="C217" i="12" s="1"/>
  <c r="G78" i="15"/>
  <c r="I78" i="15" s="1"/>
  <c r="C216" i="12" s="1"/>
  <c r="G264" i="15"/>
  <c r="G263" i="15"/>
  <c r="G210" i="15"/>
  <c r="I210" i="15" s="1"/>
  <c r="C215" i="12" s="1"/>
  <c r="G262" i="15"/>
  <c r="G138" i="15"/>
  <c r="I138" i="15" s="1"/>
  <c r="C214" i="12" s="1"/>
  <c r="G261" i="15"/>
  <c r="G119" i="15"/>
  <c r="I119" i="15" s="1"/>
  <c r="C213" i="12" s="1"/>
  <c r="G146" i="15"/>
  <c r="I146" i="15" s="1"/>
  <c r="C212" i="12" s="1"/>
  <c r="G126" i="15"/>
  <c r="I126" i="15" s="1"/>
  <c r="C211" i="12" s="1"/>
  <c r="G23" i="15"/>
  <c r="I23" i="15" s="1"/>
  <c r="C210" i="12" s="1"/>
  <c r="G260" i="15"/>
  <c r="G259" i="15"/>
  <c r="G38" i="15"/>
  <c r="I38" i="15" s="1"/>
  <c r="C209" i="12" s="1"/>
  <c r="G99" i="15"/>
  <c r="G151" i="15"/>
  <c r="G8" i="15"/>
  <c r="I8" i="15" s="1"/>
  <c r="C206" i="12" s="1"/>
  <c r="G98" i="15"/>
  <c r="G27" i="15"/>
  <c r="I27" i="15" s="1"/>
  <c r="C204" i="12" s="1"/>
  <c r="G159" i="15"/>
  <c r="I159" i="15" s="1"/>
  <c r="C203" i="12" s="1"/>
  <c r="G88" i="15"/>
  <c r="I88" i="15" s="1"/>
  <c r="C200" i="12" s="1"/>
  <c r="G3" i="15"/>
  <c r="G258" i="15"/>
  <c r="G257" i="15"/>
  <c r="G56" i="15"/>
  <c r="G256" i="15"/>
  <c r="G188" i="15"/>
  <c r="I188" i="15" s="1"/>
  <c r="C197" i="12" s="1"/>
  <c r="G55" i="15"/>
  <c r="G82" i="15"/>
  <c r="I82" i="15" s="1"/>
  <c r="C194" i="12" s="1"/>
  <c r="G41" i="15"/>
  <c r="I41" i="15" s="1"/>
  <c r="C193" i="12" s="1"/>
  <c r="G205" i="15"/>
  <c r="I205" i="15" s="1"/>
  <c r="C192" i="12" s="1"/>
  <c r="G111" i="15"/>
  <c r="I111" i="15" s="1"/>
  <c r="C191" i="12" s="1"/>
  <c r="G26" i="15"/>
  <c r="I26" i="15" s="1"/>
  <c r="C190" i="12" s="1"/>
  <c r="G6" i="15"/>
  <c r="I6" i="15" s="1"/>
  <c r="C189" i="12" s="1"/>
  <c r="G122" i="15"/>
  <c r="I122" i="15" s="1"/>
  <c r="C188" i="12" s="1"/>
  <c r="G255" i="15"/>
  <c r="G33" i="15"/>
  <c r="I33" i="15" s="1"/>
  <c r="C187" i="12" s="1"/>
  <c r="G182" i="15"/>
  <c r="I182" i="15" s="1"/>
  <c r="C186" i="12" s="1"/>
  <c r="G183" i="15"/>
  <c r="I183" i="15" s="1"/>
  <c r="C185" i="12" s="1"/>
  <c r="G116" i="15"/>
  <c r="I116" i="15" s="1"/>
  <c r="C184" i="12" s="1"/>
  <c r="G218" i="15"/>
  <c r="G254" i="15"/>
  <c r="G253" i="15"/>
  <c r="G103" i="15"/>
  <c r="G84" i="15"/>
  <c r="I84" i="15" s="1"/>
  <c r="C181" i="12" s="1"/>
  <c r="G150" i="15"/>
  <c r="G97" i="15"/>
  <c r="G252" i="15"/>
  <c r="G154" i="15"/>
  <c r="I154" i="15" s="1"/>
  <c r="C177" i="12" s="1"/>
  <c r="G211" i="15"/>
  <c r="I211" i="15" s="1"/>
  <c r="C176" i="12" s="1"/>
  <c r="G204" i="15"/>
  <c r="I204" i="15" s="1"/>
  <c r="C175" i="12" s="1"/>
  <c r="G129" i="15"/>
  <c r="I129" i="15" s="1"/>
  <c r="C174" i="12" s="1"/>
  <c r="G80" i="15"/>
  <c r="I80" i="15" s="1"/>
  <c r="C173" i="12" s="1"/>
  <c r="G71" i="15"/>
  <c r="I71" i="15" s="1"/>
  <c r="C172" i="12" s="1"/>
  <c r="G143" i="15"/>
  <c r="I143" i="15" s="1"/>
  <c r="C171" i="12" s="1"/>
  <c r="G251" i="15"/>
  <c r="G125" i="15"/>
  <c r="I125" i="15" s="1"/>
  <c r="C170" i="12" s="1"/>
  <c r="G250" i="15"/>
  <c r="G202" i="15"/>
  <c r="I202" i="15" s="1"/>
  <c r="C169" i="12" s="1"/>
  <c r="G212" i="15"/>
  <c r="I212" i="15" s="1"/>
  <c r="C168" i="12" s="1"/>
  <c r="G136" i="15"/>
  <c r="I136" i="15" s="1"/>
  <c r="C167" i="12" s="1"/>
  <c r="G153" i="15"/>
  <c r="I153" i="15" s="1"/>
  <c r="C166" i="12" s="1"/>
  <c r="G89" i="15"/>
  <c r="I89" i="15" s="1"/>
  <c r="C164" i="12" s="1"/>
  <c r="G43" i="15"/>
  <c r="I43" i="15" s="1"/>
  <c r="C163" i="12" s="1"/>
  <c r="G32" i="15"/>
  <c r="I32" i="15" s="1"/>
  <c r="C162" i="12" s="1"/>
  <c r="G217" i="15"/>
  <c r="G11" i="15"/>
  <c r="I11" i="15" s="1"/>
  <c r="C160" i="12" s="1"/>
  <c r="G249" i="15"/>
  <c r="G133" i="15"/>
  <c r="I133" i="15" s="1"/>
  <c r="C159" i="12" s="1"/>
  <c r="G49" i="15"/>
  <c r="I49" i="15" s="1"/>
  <c r="C158" i="12" s="1"/>
  <c r="G12" i="15"/>
  <c r="I12" i="15" s="1"/>
  <c r="C157" i="12" s="1"/>
  <c r="G48" i="15"/>
  <c r="I48" i="15" s="1"/>
  <c r="C156" i="12" s="1"/>
  <c r="G39" i="15"/>
  <c r="I39" i="15" s="1"/>
  <c r="C155" i="12" s="1"/>
  <c r="G216" i="15"/>
  <c r="G142" i="15"/>
  <c r="I142" i="15" s="1"/>
  <c r="C153" i="12" s="1"/>
  <c r="G184" i="15"/>
  <c r="I184" i="15" s="1"/>
  <c r="C152" i="12" s="1"/>
  <c r="G248" i="15"/>
  <c r="G149" i="15"/>
  <c r="I149" i="15" s="1"/>
  <c r="C151" i="12" s="1"/>
  <c r="G155" i="15"/>
  <c r="I155" i="15" s="1"/>
  <c r="C150" i="12" s="1"/>
  <c r="G31" i="15"/>
  <c r="I31" i="15" s="1"/>
  <c r="C149" i="12" s="1"/>
  <c r="G190" i="15"/>
  <c r="I190" i="15" s="1"/>
  <c r="C148" i="12" s="1"/>
  <c r="G247" i="15"/>
  <c r="G207" i="15"/>
  <c r="I207" i="15" s="1"/>
  <c r="C147" i="12" s="1"/>
  <c r="G81" i="15"/>
  <c r="I81" i="15" s="1"/>
  <c r="C146" i="12" s="1"/>
  <c r="G246" i="15"/>
  <c r="G110" i="15"/>
  <c r="I110" i="15" s="1"/>
  <c r="C145" i="12" s="1"/>
  <c r="G46" i="15"/>
  <c r="I46" i="15" s="1"/>
  <c r="C144" i="12" s="1"/>
  <c r="G185" i="15"/>
  <c r="I185" i="15" s="1"/>
  <c r="C143" i="12" s="1"/>
  <c r="G34" i="15"/>
  <c r="I34" i="15" s="1"/>
  <c r="C141" i="12" s="1"/>
  <c r="G96" i="15"/>
  <c r="G109" i="15"/>
  <c r="I109" i="15" s="1"/>
  <c r="C139" i="12" s="1"/>
  <c r="G245" i="15"/>
  <c r="G28" i="15"/>
  <c r="I28" i="15" s="1"/>
  <c r="C135" i="12" s="1"/>
  <c r="G244" i="15"/>
  <c r="G243" i="15"/>
  <c r="G137" i="15"/>
  <c r="I137" i="15" s="1"/>
  <c r="C134" i="12" s="1"/>
  <c r="G198" i="15"/>
  <c r="G242" i="15"/>
  <c r="G241" i="15"/>
  <c r="G240" i="15"/>
  <c r="G66" i="15"/>
  <c r="I66" i="15" s="1"/>
  <c r="C132" i="12" s="1"/>
  <c r="G20" i="15"/>
  <c r="I20" i="15" s="1"/>
  <c r="C131" i="12" s="1"/>
  <c r="G52" i="15"/>
  <c r="G112" i="15"/>
  <c r="I112" i="15" s="1"/>
  <c r="C129" i="12" s="1"/>
  <c r="G128" i="15"/>
  <c r="I128" i="15" s="1"/>
  <c r="C128" i="12" s="1"/>
  <c r="G239" i="15"/>
  <c r="G120" i="15"/>
  <c r="I120" i="15" s="1"/>
  <c r="C127" i="12" s="1"/>
  <c r="G106" i="15"/>
  <c r="I106" i="15" s="1"/>
  <c r="C126" i="12" s="1"/>
  <c r="G70" i="15"/>
  <c r="I70" i="15" s="1"/>
  <c r="C125" i="12" s="1"/>
  <c r="G209" i="15"/>
  <c r="I209" i="15" s="1"/>
  <c r="C124" i="12" s="1"/>
  <c r="G130" i="15"/>
  <c r="I130" i="15" s="1"/>
  <c r="C123" i="12" s="1"/>
  <c r="G135" i="15"/>
  <c r="I135" i="15" s="1"/>
  <c r="C122" i="12" s="1"/>
  <c r="G14" i="15"/>
  <c r="I14" i="15" s="1"/>
  <c r="C121" i="12" s="1"/>
  <c r="G134" i="15"/>
  <c r="I134" i="15" s="1"/>
  <c r="C120" i="12" s="1"/>
  <c r="G105" i="15"/>
  <c r="I105" i="15" s="1"/>
  <c r="C119" i="12" s="1"/>
  <c r="G117" i="15"/>
  <c r="I117" i="15" s="1"/>
  <c r="C118" i="12" s="1"/>
  <c r="G74" i="15"/>
  <c r="I74" i="15" s="1"/>
  <c r="C117" i="12" s="1"/>
  <c r="G169" i="15"/>
  <c r="I169" i="15" s="1"/>
  <c r="C116" i="12" s="1"/>
  <c r="G104" i="15"/>
  <c r="I104" i="15" s="1"/>
  <c r="C115" i="12" s="1"/>
  <c r="G156" i="15"/>
  <c r="I156" i="15" s="1"/>
  <c r="C114" i="12" s="1"/>
  <c r="G140" i="15"/>
  <c r="I140" i="15" s="1"/>
  <c r="C113" i="12" s="1"/>
  <c r="G145" i="15"/>
  <c r="I145" i="15" s="1"/>
  <c r="C112" i="12" s="1"/>
  <c r="G238" i="15"/>
  <c r="G144" i="15"/>
  <c r="I144" i="15" s="1"/>
  <c r="C110" i="12" s="1"/>
  <c r="G197" i="15"/>
  <c r="G237" i="15"/>
  <c r="G139" i="15"/>
  <c r="I139" i="15" s="1"/>
  <c r="C108" i="12" s="1"/>
  <c r="G236" i="15"/>
  <c r="G235" i="15"/>
  <c r="G234" i="15"/>
  <c r="G233" i="15"/>
  <c r="G181" i="15"/>
  <c r="I181" i="15" s="1"/>
  <c r="C107" i="12" s="1"/>
  <c r="G87" i="15"/>
  <c r="I87" i="15" s="1"/>
  <c r="C106" i="12" s="1"/>
  <c r="G179" i="15"/>
  <c r="I179" i="15" s="1"/>
  <c r="C105" i="12" s="1"/>
  <c r="G232" i="15"/>
  <c r="G79" i="15"/>
  <c r="I79" i="15" s="1"/>
  <c r="C104" i="12" s="1"/>
  <c r="G107" i="15"/>
  <c r="I107" i="15" s="1"/>
  <c r="C103" i="12" s="1"/>
  <c r="G231" i="15"/>
  <c r="G73" i="15"/>
  <c r="I73" i="15" s="1"/>
  <c r="C102" i="12" s="1"/>
  <c r="G215" i="15"/>
  <c r="G76" i="15"/>
  <c r="I76" i="15" s="1"/>
  <c r="C100" i="12" s="1"/>
  <c r="G95" i="15"/>
  <c r="G64" i="15"/>
  <c r="I64" i="15" s="1"/>
  <c r="C98" i="12" s="1"/>
  <c r="G22" i="15"/>
  <c r="I22" i="15" s="1"/>
  <c r="C96" i="12" s="1"/>
  <c r="G17" i="15"/>
  <c r="I17" i="15" s="1"/>
  <c r="C95" i="12" s="1"/>
  <c r="G47" i="15"/>
  <c r="I47" i="15" s="1"/>
  <c r="C94" i="12" s="1"/>
  <c r="G29" i="15"/>
  <c r="I29" i="15" s="1"/>
  <c r="C93" i="12" s="1"/>
  <c r="G196" i="15"/>
  <c r="G37" i="15"/>
  <c r="I37" i="15" s="1"/>
  <c r="C91" i="12" s="1"/>
  <c r="G123" i="15"/>
  <c r="I123" i="15" s="1"/>
  <c r="C90" i="12" s="1"/>
  <c r="G165" i="15"/>
  <c r="I165" i="15" s="1"/>
  <c r="C89" i="12" s="1"/>
  <c r="G21" i="15"/>
  <c r="I21" i="15" s="1"/>
  <c r="C88" i="12" s="1"/>
  <c r="G208" i="15"/>
  <c r="I208" i="15" s="1"/>
  <c r="C87" i="12" s="1"/>
  <c r="G195" i="15"/>
  <c r="G213" i="15"/>
  <c r="I213" i="15" s="1"/>
  <c r="C84" i="12" s="1"/>
  <c r="G230" i="15"/>
  <c r="G229" i="15"/>
  <c r="G25" i="15"/>
  <c r="I25" i="15" s="1"/>
  <c r="C82" i="12" s="1"/>
  <c r="G171" i="15"/>
  <c r="I171" i="15" s="1"/>
  <c r="C80" i="12" s="1"/>
  <c r="G54" i="15"/>
  <c r="G228" i="15"/>
  <c r="G51" i="15"/>
  <c r="I51" i="15" s="1"/>
  <c r="C78" i="12" s="1"/>
  <c r="G77" i="15"/>
  <c r="I77" i="15" s="1"/>
  <c r="C77" i="12" s="1"/>
  <c r="G227" i="15"/>
  <c r="G226" i="15"/>
  <c r="G225" i="15"/>
  <c r="G224" i="15"/>
  <c r="G223" i="15"/>
  <c r="G50" i="15"/>
  <c r="I50" i="15" s="1"/>
  <c r="C76" i="12" s="1"/>
  <c r="G85" i="15"/>
  <c r="I85" i="15" s="1"/>
  <c r="C75" i="12" s="1"/>
  <c r="G158" i="15"/>
  <c r="I158" i="15" s="1"/>
  <c r="C74" i="12" s="1"/>
  <c r="G62" i="15"/>
  <c r="I62" i="15" s="1"/>
  <c r="C73" i="12" s="1"/>
  <c r="G53" i="15"/>
  <c r="G177" i="15"/>
  <c r="I177" i="15" s="1"/>
  <c r="C70" i="12" s="1"/>
  <c r="G94" i="15"/>
  <c r="G93" i="15"/>
  <c r="G92" i="15"/>
  <c r="G222" i="15"/>
  <c r="G63" i="15"/>
  <c r="I63" i="15" s="1"/>
  <c r="C65" i="12" s="1"/>
  <c r="G13" i="15"/>
  <c r="I13" i="15" s="1"/>
  <c r="C64" i="12" s="1"/>
  <c r="G10" i="15"/>
  <c r="I10" i="15" s="1"/>
  <c r="C63" i="12" s="1"/>
  <c r="G86" i="15"/>
  <c r="I86" i="15" s="1"/>
  <c r="C62" i="12" s="1"/>
  <c r="G44" i="15"/>
  <c r="I44" i="15" s="1"/>
  <c r="C61" i="12" s="1"/>
  <c r="G9" i="15"/>
  <c r="I9" i="15" s="1"/>
  <c r="C60" i="12" s="1"/>
  <c r="G24" i="15"/>
  <c r="I24" i="15" s="1"/>
  <c r="C59" i="12" s="1"/>
  <c r="G19" i="15"/>
  <c r="I19" i="15" s="1"/>
  <c r="C58" i="12" s="1"/>
  <c r="G114" i="15"/>
  <c r="I114" i="15" s="1"/>
  <c r="C57" i="12" s="1"/>
  <c r="G67" i="15"/>
  <c r="I67" i="15" s="1"/>
  <c r="C56" i="12" s="1"/>
  <c r="G221" i="15"/>
  <c r="G157" i="15"/>
  <c r="I157" i="15" s="1"/>
  <c r="C55" i="12" s="1"/>
  <c r="G220" i="15"/>
  <c r="G59" i="15"/>
  <c r="I59" i="15" s="1"/>
  <c r="C54" i="12" s="1"/>
  <c r="G7" i="15"/>
  <c r="I7" i="15" s="1"/>
  <c r="C53" i="12" s="1"/>
  <c r="G16" i="15"/>
  <c r="I16" i="15" s="1"/>
  <c r="C52" i="12" s="1"/>
  <c r="G132" i="15"/>
  <c r="I132" i="15" s="1"/>
  <c r="C51" i="12" s="1"/>
  <c r="G127" i="15"/>
  <c r="I127" i="15" s="1"/>
  <c r="C50" i="12" s="1"/>
  <c r="G60" i="15"/>
  <c r="I60" i="15" s="1"/>
  <c r="C49" i="12" s="1"/>
  <c r="G69" i="15"/>
  <c r="I69" i="15" s="1"/>
  <c r="C48" i="12" s="1"/>
  <c r="G83" i="15"/>
  <c r="I83" i="15" s="1"/>
  <c r="C47" i="12" s="1"/>
  <c r="G91" i="15"/>
  <c r="G75" i="15"/>
  <c r="I75" i="15" s="1"/>
  <c r="C45" i="12" s="1"/>
  <c r="G193" i="15"/>
  <c r="I193" i="15" s="1"/>
  <c r="C44" i="12" s="1"/>
  <c r="G186" i="15"/>
  <c r="I186" i="15" s="1"/>
  <c r="C43" i="12" s="1"/>
  <c r="G57" i="15"/>
  <c r="I57" i="15" s="1"/>
  <c r="C42" i="12" s="1"/>
  <c r="G115" i="15"/>
  <c r="I115" i="15" s="1"/>
  <c r="C41" i="12" s="1"/>
  <c r="G187" i="15"/>
  <c r="I187" i="15" s="1"/>
  <c r="C40" i="12" s="1"/>
  <c r="G121" i="15"/>
  <c r="I121" i="15" s="1"/>
  <c r="C39" i="12" s="1"/>
  <c r="G36" i="15"/>
  <c r="I36" i="15" s="1"/>
  <c r="C38" i="12" s="1"/>
  <c r="G35" i="15"/>
  <c r="I35" i="15" s="1"/>
  <c r="C37" i="12" s="1"/>
  <c r="G18" i="15"/>
  <c r="I18" i="15" s="1"/>
  <c r="C35" i="12" s="1"/>
  <c r="G147" i="15"/>
  <c r="I147" i="15" s="1"/>
  <c r="C34" i="12" s="1"/>
  <c r="G201" i="15"/>
  <c r="I201" i="15" s="1"/>
  <c r="C32" i="12" s="1"/>
  <c r="G68" i="15"/>
  <c r="I68" i="15" s="1"/>
  <c r="C31" i="12" s="1"/>
  <c r="G214" i="15"/>
  <c r="G118" i="15"/>
  <c r="I118" i="15" s="1"/>
  <c r="C29" i="12" s="1"/>
  <c r="G65" i="15"/>
  <c r="I65" i="15" s="1"/>
  <c r="C28" i="12" s="1"/>
  <c r="G113" i="15"/>
  <c r="I113" i="15" s="1"/>
  <c r="C27" i="12" s="1"/>
  <c r="G219" i="15"/>
  <c r="G189" i="15"/>
  <c r="I189" i="15" s="1"/>
  <c r="C25" i="12" s="1"/>
  <c r="G5" i="15"/>
  <c r="G141" i="15"/>
  <c r="I141" i="15" s="1"/>
  <c r="C23" i="12" s="1"/>
  <c r="G90" i="15"/>
  <c r="E172" i="15"/>
  <c r="G172" i="15" s="1"/>
  <c r="I172" i="15" s="1"/>
  <c r="C202" i="12" s="1"/>
  <c r="E178" i="15"/>
  <c r="G178" i="15" s="1"/>
  <c r="I178" i="15" s="1"/>
  <c r="C201" i="12" s="1"/>
  <c r="E184" i="15"/>
  <c r="E170" i="15"/>
  <c r="G170" i="15" s="1"/>
  <c r="I170" i="15" s="1"/>
  <c r="C195" i="12" s="1"/>
  <c r="E174" i="15"/>
  <c r="G174" i="15" s="1"/>
  <c r="I174" i="15" s="1"/>
  <c r="C180" i="12" s="1"/>
  <c r="E163" i="15"/>
  <c r="G163" i="15" s="1"/>
  <c r="I163" i="15" s="1"/>
  <c r="C165" i="12" s="1"/>
  <c r="E199" i="15"/>
  <c r="G199" i="15" s="1"/>
  <c r="E180" i="15"/>
  <c r="G180" i="15" s="1"/>
  <c r="I180" i="15" s="1"/>
  <c r="C136" i="12" s="1"/>
  <c r="E176" i="15"/>
  <c r="G176" i="15" s="1"/>
  <c r="I176" i="15" s="1"/>
  <c r="C138" i="12" s="1"/>
  <c r="E161" i="15"/>
  <c r="G161" i="15" s="1"/>
  <c r="I161" i="15" s="1"/>
  <c r="C137" i="12" s="1"/>
  <c r="E169" i="15"/>
  <c r="E164" i="15"/>
  <c r="G164" i="15" s="1"/>
  <c r="I164" i="15" s="1"/>
  <c r="C111" i="12" s="1"/>
  <c r="E173" i="15"/>
  <c r="G173" i="15" s="1"/>
  <c r="I173" i="15" s="1"/>
  <c r="C97" i="12" s="1"/>
  <c r="E167" i="15"/>
  <c r="G167" i="15" s="1"/>
  <c r="I167" i="15" s="1"/>
  <c r="C85" i="12" s="1"/>
  <c r="E160" i="15"/>
  <c r="G160" i="15" s="1"/>
  <c r="I160" i="15" s="1"/>
  <c r="C83" i="12" s="1"/>
  <c r="E175" i="15"/>
  <c r="G175" i="15" s="1"/>
  <c r="I175" i="15" s="1"/>
  <c r="C81" i="12" s="1"/>
  <c r="E171" i="15"/>
  <c r="E168" i="15"/>
  <c r="G168" i="15" s="1"/>
  <c r="I168" i="15" s="1"/>
  <c r="C71" i="12" s="1"/>
  <c r="E108" i="15"/>
  <c r="G108" i="15" s="1"/>
  <c r="I108" i="15" s="1"/>
  <c r="C69" i="12" s="1"/>
  <c r="E194" i="15"/>
  <c r="G194" i="15" s="1"/>
  <c r="E162" i="15"/>
  <c r="G162" i="15" s="1"/>
  <c r="I162" i="15" s="1"/>
  <c r="C36" i="12" s="1"/>
  <c r="E166" i="15"/>
  <c r="G166" i="15" s="1"/>
  <c r="I166" i="15" s="1"/>
  <c r="C33" i="12" s="1"/>
  <c r="M561" i="13"/>
  <c r="M560" i="13"/>
  <c r="K560" i="13"/>
  <c r="J560" i="13"/>
  <c r="M559" i="13"/>
  <c r="K559" i="13"/>
  <c r="J559" i="13"/>
  <c r="M558" i="13"/>
  <c r="K558" i="13"/>
  <c r="J558" i="13"/>
  <c r="M557" i="13"/>
  <c r="K557" i="13"/>
  <c r="J557" i="13"/>
  <c r="M556" i="13"/>
  <c r="K556" i="13"/>
  <c r="J556" i="13"/>
  <c r="M555" i="13"/>
  <c r="K555" i="13"/>
  <c r="J555" i="13"/>
  <c r="M554" i="13"/>
  <c r="K554" i="13"/>
  <c r="J554" i="13"/>
  <c r="M553" i="13"/>
  <c r="K553" i="13"/>
  <c r="J553" i="13"/>
  <c r="M552" i="13"/>
  <c r="K552" i="13"/>
  <c r="J552" i="13"/>
  <c r="M551" i="13"/>
  <c r="K551" i="13"/>
  <c r="J551" i="13"/>
  <c r="M550" i="13"/>
  <c r="K550" i="13"/>
  <c r="J550" i="13"/>
  <c r="M549" i="13"/>
  <c r="K549" i="13"/>
  <c r="J549" i="13"/>
  <c r="M548" i="13"/>
  <c r="K548" i="13"/>
  <c r="J548" i="13"/>
  <c r="M547" i="13"/>
  <c r="K547" i="13"/>
  <c r="J547" i="13"/>
  <c r="M546" i="13"/>
  <c r="K546" i="13"/>
  <c r="J546" i="13"/>
  <c r="M545" i="13"/>
  <c r="K545" i="13"/>
  <c r="J545" i="13"/>
  <c r="M544" i="13"/>
  <c r="K544" i="13"/>
  <c r="J544" i="13"/>
  <c r="M543" i="13"/>
  <c r="K543" i="13"/>
  <c r="J543" i="13"/>
  <c r="M542" i="13"/>
  <c r="K542" i="13"/>
  <c r="J542" i="13"/>
  <c r="M541" i="13"/>
  <c r="K541" i="13"/>
  <c r="J541" i="13"/>
  <c r="M540" i="13"/>
  <c r="K540" i="13"/>
  <c r="J540" i="13"/>
  <c r="M539" i="13"/>
  <c r="K539" i="13"/>
  <c r="J539" i="13"/>
  <c r="M538" i="13"/>
  <c r="K538" i="13"/>
  <c r="J538" i="13"/>
  <c r="M537" i="13"/>
  <c r="K537" i="13"/>
  <c r="J537" i="13"/>
  <c r="M536" i="13"/>
  <c r="K536" i="13"/>
  <c r="J536" i="13"/>
  <c r="M535" i="13"/>
  <c r="K535" i="13"/>
  <c r="J535" i="13"/>
  <c r="M534" i="13"/>
  <c r="K534" i="13"/>
  <c r="J534" i="13"/>
  <c r="M533" i="13"/>
  <c r="K533" i="13"/>
  <c r="J533" i="13"/>
  <c r="M532" i="13"/>
  <c r="K532" i="13"/>
  <c r="J532" i="13"/>
  <c r="M531" i="13"/>
  <c r="K531" i="13"/>
  <c r="J531" i="13"/>
  <c r="M530" i="13"/>
  <c r="K530" i="13"/>
  <c r="J530" i="13"/>
  <c r="M529" i="13"/>
  <c r="K529" i="13"/>
  <c r="J529" i="13"/>
  <c r="M528" i="13"/>
  <c r="K528" i="13"/>
  <c r="J528" i="13"/>
  <c r="M527" i="13"/>
  <c r="K527" i="13"/>
  <c r="J527" i="13"/>
  <c r="M526" i="13"/>
  <c r="K526" i="13"/>
  <c r="J526" i="13"/>
  <c r="M525" i="13"/>
  <c r="K525" i="13"/>
  <c r="J525" i="13"/>
  <c r="M524" i="13"/>
  <c r="K524" i="13"/>
  <c r="J524" i="13"/>
  <c r="M523" i="13"/>
  <c r="K523" i="13"/>
  <c r="J523" i="13"/>
  <c r="M522" i="13"/>
  <c r="K522" i="13"/>
  <c r="J522" i="13"/>
  <c r="M521" i="13"/>
  <c r="K521" i="13"/>
  <c r="J521" i="13"/>
  <c r="M520" i="13"/>
  <c r="K520" i="13"/>
  <c r="J520" i="13"/>
  <c r="M519" i="13"/>
  <c r="K519" i="13"/>
  <c r="J519" i="13"/>
  <c r="M518" i="13"/>
  <c r="K518" i="13"/>
  <c r="J518" i="13"/>
  <c r="M517" i="13"/>
  <c r="K517" i="13"/>
  <c r="J517" i="13"/>
  <c r="M516" i="13"/>
  <c r="K516" i="13"/>
  <c r="J516" i="13"/>
  <c r="M515" i="13"/>
  <c r="K515" i="13"/>
  <c r="J515" i="13"/>
  <c r="M514" i="13"/>
  <c r="K514" i="13"/>
  <c r="J514" i="13"/>
  <c r="M513" i="13"/>
  <c r="K513" i="13"/>
  <c r="J513" i="13"/>
  <c r="M512" i="13"/>
  <c r="K512" i="13"/>
  <c r="J512" i="13"/>
  <c r="M511" i="13"/>
  <c r="K511" i="13"/>
  <c r="J511" i="13"/>
  <c r="M510" i="13"/>
  <c r="K510" i="13"/>
  <c r="J510" i="13"/>
  <c r="M509" i="13"/>
  <c r="K509" i="13"/>
  <c r="J509" i="13"/>
  <c r="M508" i="13"/>
  <c r="K508" i="13"/>
  <c r="J508" i="13"/>
  <c r="M507" i="13"/>
  <c r="K507" i="13"/>
  <c r="J507" i="13"/>
  <c r="M506" i="13"/>
  <c r="K506" i="13"/>
  <c r="J506" i="13"/>
  <c r="M505" i="13"/>
  <c r="K505" i="13"/>
  <c r="J505" i="13"/>
  <c r="M504" i="13"/>
  <c r="K504" i="13"/>
  <c r="J504" i="13"/>
  <c r="M503" i="13"/>
  <c r="K503" i="13"/>
  <c r="J503" i="13"/>
  <c r="M502" i="13"/>
  <c r="K502" i="13"/>
  <c r="J502" i="13"/>
  <c r="M501" i="13"/>
  <c r="K501" i="13"/>
  <c r="J501" i="13"/>
  <c r="M500" i="13"/>
  <c r="K500" i="13"/>
  <c r="J500" i="13"/>
  <c r="M499" i="13"/>
  <c r="K499" i="13"/>
  <c r="J499" i="13"/>
  <c r="M498" i="13"/>
  <c r="K498" i="13"/>
  <c r="J498" i="13"/>
  <c r="M497" i="13"/>
  <c r="K497" i="13"/>
  <c r="J497" i="13"/>
  <c r="M496" i="13"/>
  <c r="K496" i="13"/>
  <c r="J496" i="13"/>
  <c r="M495" i="13"/>
  <c r="K495" i="13"/>
  <c r="J495" i="13"/>
  <c r="M494" i="13"/>
  <c r="K494" i="13"/>
  <c r="J494" i="13"/>
  <c r="M493" i="13"/>
  <c r="K493" i="13"/>
  <c r="J493" i="13"/>
  <c r="M492" i="13"/>
  <c r="K492" i="13"/>
  <c r="J492" i="13"/>
  <c r="M491" i="13"/>
  <c r="K491" i="13"/>
  <c r="J491" i="13"/>
  <c r="M490" i="13"/>
  <c r="K490" i="13"/>
  <c r="J490" i="13"/>
  <c r="M489" i="13"/>
  <c r="K489" i="13"/>
  <c r="J489" i="13"/>
  <c r="M488" i="13"/>
  <c r="K488" i="13"/>
  <c r="J488" i="13"/>
  <c r="M487" i="13"/>
  <c r="K487" i="13"/>
  <c r="J487" i="13"/>
  <c r="M486" i="13"/>
  <c r="K486" i="13"/>
  <c r="J486" i="13"/>
  <c r="M485" i="13"/>
  <c r="K485" i="13"/>
  <c r="J485" i="13"/>
  <c r="M484" i="13"/>
  <c r="K484" i="13"/>
  <c r="J484" i="13"/>
  <c r="M483" i="13"/>
  <c r="K483" i="13"/>
  <c r="J483" i="13"/>
  <c r="M482" i="13"/>
  <c r="K482" i="13"/>
  <c r="J482" i="13"/>
  <c r="M481" i="13"/>
  <c r="K481" i="13"/>
  <c r="J481" i="13"/>
  <c r="M480" i="13"/>
  <c r="K480" i="13"/>
  <c r="J480" i="13"/>
  <c r="M479" i="13"/>
  <c r="K479" i="13"/>
  <c r="J479" i="13"/>
  <c r="M478" i="13"/>
  <c r="K478" i="13"/>
  <c r="J478" i="13"/>
  <c r="M477" i="13"/>
  <c r="K477" i="13"/>
  <c r="J477" i="13"/>
  <c r="M476" i="13"/>
  <c r="K476" i="13"/>
  <c r="J476" i="13"/>
  <c r="M475" i="13"/>
  <c r="K475" i="13"/>
  <c r="J475" i="13"/>
  <c r="M474" i="13"/>
  <c r="K474" i="13"/>
  <c r="J474" i="13"/>
  <c r="M473" i="13"/>
  <c r="K473" i="13"/>
  <c r="J473" i="13"/>
  <c r="M472" i="13"/>
  <c r="K472" i="13"/>
  <c r="J472" i="13"/>
  <c r="M471" i="13"/>
  <c r="K471" i="13"/>
  <c r="J471" i="13"/>
  <c r="M470" i="13"/>
  <c r="K470" i="13"/>
  <c r="J470" i="13"/>
  <c r="M469" i="13"/>
  <c r="K469" i="13"/>
  <c r="J469" i="13"/>
  <c r="M468" i="13"/>
  <c r="K468" i="13"/>
  <c r="J468" i="13"/>
  <c r="M467" i="13"/>
  <c r="K467" i="13"/>
  <c r="J467" i="13"/>
  <c r="M466" i="13"/>
  <c r="K466" i="13"/>
  <c r="J466" i="13"/>
  <c r="M465" i="13"/>
  <c r="K465" i="13"/>
  <c r="J465" i="13"/>
  <c r="M464" i="13"/>
  <c r="K464" i="13"/>
  <c r="J464" i="13"/>
  <c r="M463" i="13"/>
  <c r="K463" i="13"/>
  <c r="J463" i="13"/>
  <c r="M462" i="13"/>
  <c r="K462" i="13"/>
  <c r="J462" i="13"/>
  <c r="M461" i="13"/>
  <c r="K461" i="13"/>
  <c r="J461" i="13"/>
  <c r="M460" i="13"/>
  <c r="K460" i="13"/>
  <c r="J460" i="13"/>
  <c r="M459" i="13"/>
  <c r="K459" i="13"/>
  <c r="J459" i="13"/>
  <c r="M458" i="13"/>
  <c r="K458" i="13"/>
  <c r="J458" i="13"/>
  <c r="M457" i="13"/>
  <c r="K457" i="13"/>
  <c r="J457" i="13"/>
  <c r="M456" i="13"/>
  <c r="K456" i="13"/>
  <c r="J456" i="13"/>
  <c r="M455" i="13"/>
  <c r="K455" i="13"/>
  <c r="J455" i="13"/>
  <c r="M454" i="13"/>
  <c r="K454" i="13"/>
  <c r="J454" i="13"/>
  <c r="M453" i="13"/>
  <c r="K453" i="13"/>
  <c r="J453" i="13"/>
  <c r="M452" i="13"/>
  <c r="K452" i="13"/>
  <c r="J452" i="13"/>
  <c r="M451" i="13"/>
  <c r="K451" i="13"/>
  <c r="J451" i="13"/>
  <c r="M450" i="13"/>
  <c r="K450" i="13"/>
  <c r="J450" i="13"/>
  <c r="M449" i="13"/>
  <c r="K449" i="13"/>
  <c r="J449" i="13"/>
  <c r="M448" i="13"/>
  <c r="K448" i="13"/>
  <c r="J448" i="13"/>
  <c r="M447" i="13"/>
  <c r="K447" i="13"/>
  <c r="J447" i="13"/>
  <c r="M446" i="13"/>
  <c r="K446" i="13"/>
  <c r="J446" i="13"/>
  <c r="M445" i="13"/>
  <c r="K445" i="13"/>
  <c r="J445" i="13"/>
  <c r="M444" i="13"/>
  <c r="K444" i="13"/>
  <c r="J444" i="13"/>
  <c r="M443" i="13"/>
  <c r="K443" i="13"/>
  <c r="J443" i="13"/>
  <c r="M442" i="13"/>
  <c r="K442" i="13"/>
  <c r="J442" i="13"/>
  <c r="M441" i="13"/>
  <c r="K441" i="13"/>
  <c r="J441" i="13"/>
  <c r="M440" i="13"/>
  <c r="K440" i="13"/>
  <c r="J440" i="13"/>
  <c r="M439" i="13"/>
  <c r="K439" i="13"/>
  <c r="J439" i="13"/>
  <c r="M438" i="13"/>
  <c r="K438" i="13"/>
  <c r="J438" i="13"/>
  <c r="M437" i="13"/>
  <c r="K437" i="13"/>
  <c r="J437" i="13"/>
  <c r="M436" i="13"/>
  <c r="K436" i="13"/>
  <c r="J436" i="13"/>
  <c r="M435" i="13"/>
  <c r="K435" i="13"/>
  <c r="J435" i="13"/>
  <c r="M434" i="13"/>
  <c r="K434" i="13"/>
  <c r="J434" i="13"/>
  <c r="M433" i="13"/>
  <c r="K433" i="13"/>
  <c r="J433" i="13"/>
  <c r="M432" i="13"/>
  <c r="K432" i="13"/>
  <c r="J432" i="13"/>
  <c r="M431" i="13"/>
  <c r="K431" i="13"/>
  <c r="J431" i="13"/>
  <c r="M430" i="13"/>
  <c r="K430" i="13"/>
  <c r="J430" i="13"/>
  <c r="M429" i="13"/>
  <c r="K429" i="13"/>
  <c r="J429" i="13"/>
  <c r="M428" i="13"/>
  <c r="K428" i="13"/>
  <c r="J428" i="13"/>
  <c r="M427" i="13"/>
  <c r="K427" i="13"/>
  <c r="J427" i="13"/>
  <c r="M426" i="13"/>
  <c r="K426" i="13"/>
  <c r="J426" i="13"/>
  <c r="M425" i="13"/>
  <c r="K425" i="13"/>
  <c r="J425" i="13"/>
  <c r="M424" i="13"/>
  <c r="K424" i="13"/>
  <c r="J424" i="13"/>
  <c r="M423" i="13"/>
  <c r="K423" i="13"/>
  <c r="J423" i="13"/>
  <c r="M422" i="13"/>
  <c r="K422" i="13"/>
  <c r="J422" i="13"/>
  <c r="M421" i="13"/>
  <c r="K421" i="13"/>
  <c r="J421" i="13"/>
  <c r="M420" i="13"/>
  <c r="K420" i="13"/>
  <c r="J420" i="13"/>
  <c r="M419" i="13"/>
  <c r="K419" i="13"/>
  <c r="J419" i="13"/>
  <c r="M418" i="13"/>
  <c r="K418" i="13"/>
  <c r="J418" i="13"/>
  <c r="M417" i="13"/>
  <c r="K417" i="13"/>
  <c r="J417" i="13"/>
  <c r="M416" i="13"/>
  <c r="K416" i="13"/>
  <c r="J416" i="13"/>
  <c r="M415" i="13"/>
  <c r="K415" i="13"/>
  <c r="J415" i="13"/>
  <c r="M414" i="13"/>
  <c r="K414" i="13"/>
  <c r="J414" i="13"/>
  <c r="M413" i="13"/>
  <c r="K413" i="13"/>
  <c r="J413" i="13"/>
  <c r="M412" i="13"/>
  <c r="K412" i="13"/>
  <c r="J412" i="13"/>
  <c r="M411" i="13"/>
  <c r="K411" i="13"/>
  <c r="J411" i="13"/>
  <c r="M410" i="13"/>
  <c r="K410" i="13"/>
  <c r="J410" i="13"/>
  <c r="M409" i="13"/>
  <c r="K409" i="13"/>
  <c r="J409" i="13"/>
  <c r="M408" i="13"/>
  <c r="K408" i="13"/>
  <c r="J408" i="13"/>
  <c r="M407" i="13"/>
  <c r="K407" i="13"/>
  <c r="J407" i="13"/>
  <c r="M406" i="13"/>
  <c r="K406" i="13"/>
  <c r="J406" i="13"/>
  <c r="M405" i="13"/>
  <c r="K405" i="13"/>
  <c r="J405" i="13"/>
  <c r="M404" i="13"/>
  <c r="K404" i="13"/>
  <c r="J404" i="13"/>
  <c r="M403" i="13"/>
  <c r="K403" i="13"/>
  <c r="J403" i="13"/>
  <c r="M402" i="13"/>
  <c r="K402" i="13"/>
  <c r="J402" i="13"/>
  <c r="M401" i="13"/>
  <c r="K401" i="13"/>
  <c r="J401" i="13"/>
  <c r="M400" i="13"/>
  <c r="K400" i="13"/>
  <c r="J400" i="13"/>
  <c r="M399" i="13"/>
  <c r="K399" i="13"/>
  <c r="J399" i="13"/>
  <c r="M398" i="13"/>
  <c r="K398" i="13"/>
  <c r="J398" i="13"/>
  <c r="M397" i="13"/>
  <c r="K397" i="13"/>
  <c r="J397" i="13"/>
  <c r="M396" i="13"/>
  <c r="K396" i="13"/>
  <c r="J396" i="13"/>
  <c r="M395" i="13"/>
  <c r="K395" i="13"/>
  <c r="J395" i="13"/>
  <c r="M394" i="13"/>
  <c r="K394" i="13"/>
  <c r="J394" i="13"/>
  <c r="M393" i="13"/>
  <c r="K393" i="13"/>
  <c r="J393" i="13"/>
  <c r="M392" i="13"/>
  <c r="K392" i="13"/>
  <c r="J392" i="13"/>
  <c r="M391" i="13"/>
  <c r="K391" i="13"/>
  <c r="J391" i="13"/>
  <c r="M390" i="13"/>
  <c r="K390" i="13"/>
  <c r="J390" i="13"/>
  <c r="M389" i="13"/>
  <c r="K389" i="13"/>
  <c r="J389" i="13"/>
  <c r="M388" i="13"/>
  <c r="K388" i="13"/>
  <c r="J388" i="13"/>
  <c r="M387" i="13"/>
  <c r="K387" i="13"/>
  <c r="J387" i="13"/>
  <c r="M386" i="13"/>
  <c r="K386" i="13"/>
  <c r="J386" i="13"/>
  <c r="M385" i="13"/>
  <c r="K385" i="13"/>
  <c r="J385" i="13"/>
  <c r="M384" i="13"/>
  <c r="K384" i="13"/>
  <c r="J384" i="13"/>
  <c r="M383" i="13"/>
  <c r="K383" i="13"/>
  <c r="J383" i="13"/>
  <c r="M382" i="13"/>
  <c r="K382" i="13"/>
  <c r="J382" i="13"/>
  <c r="M381" i="13"/>
  <c r="K381" i="13"/>
  <c r="J381" i="13"/>
  <c r="M380" i="13"/>
  <c r="K380" i="13"/>
  <c r="J380" i="13"/>
  <c r="M379" i="13"/>
  <c r="K379" i="13"/>
  <c r="J379" i="13"/>
  <c r="M378" i="13"/>
  <c r="K378" i="13"/>
  <c r="J378" i="13"/>
  <c r="M377" i="13"/>
  <c r="K377" i="13"/>
  <c r="J377" i="13"/>
  <c r="M376" i="13"/>
  <c r="K376" i="13"/>
  <c r="J376" i="13"/>
  <c r="M375" i="13"/>
  <c r="K375" i="13"/>
  <c r="J375" i="13"/>
  <c r="M374" i="13"/>
  <c r="K374" i="13"/>
  <c r="J374" i="13"/>
  <c r="M373" i="13"/>
  <c r="K373" i="13"/>
  <c r="J373" i="13"/>
  <c r="M372" i="13"/>
  <c r="K372" i="13"/>
  <c r="J372" i="13"/>
  <c r="M371" i="13"/>
  <c r="K371" i="13"/>
  <c r="J371" i="13"/>
  <c r="M370" i="13"/>
  <c r="K370" i="13"/>
  <c r="J370" i="13"/>
  <c r="M369" i="13"/>
  <c r="K369" i="13"/>
  <c r="J369" i="13"/>
  <c r="M368" i="13"/>
  <c r="K368" i="13"/>
  <c r="J368" i="13"/>
  <c r="M367" i="13"/>
  <c r="K367" i="13"/>
  <c r="J367" i="13"/>
  <c r="M366" i="13"/>
  <c r="K366" i="13"/>
  <c r="J366" i="13"/>
  <c r="M365" i="13"/>
  <c r="K365" i="13"/>
  <c r="J365" i="13"/>
  <c r="M364" i="13"/>
  <c r="K364" i="13"/>
  <c r="J364" i="13"/>
  <c r="M363" i="13"/>
  <c r="K363" i="13"/>
  <c r="J363" i="13"/>
  <c r="M362" i="13"/>
  <c r="K362" i="13"/>
  <c r="J362" i="13"/>
  <c r="M361" i="13"/>
  <c r="K361" i="13"/>
  <c r="J361" i="13"/>
  <c r="M360" i="13"/>
  <c r="K360" i="13"/>
  <c r="J360" i="13"/>
  <c r="M359" i="13"/>
  <c r="K359" i="13"/>
  <c r="J359" i="13"/>
  <c r="M358" i="13"/>
  <c r="K358" i="13"/>
  <c r="J358" i="13"/>
  <c r="M357" i="13"/>
  <c r="K357" i="13"/>
  <c r="J357" i="13"/>
  <c r="M356" i="13"/>
  <c r="K356" i="13"/>
  <c r="J356" i="13"/>
  <c r="M355" i="13"/>
  <c r="K355" i="13"/>
  <c r="J355" i="13"/>
  <c r="M354" i="13"/>
  <c r="K354" i="13"/>
  <c r="J354" i="13"/>
  <c r="M353" i="13"/>
  <c r="K353" i="13"/>
  <c r="J353" i="13"/>
  <c r="M352" i="13"/>
  <c r="K352" i="13"/>
  <c r="J352" i="13"/>
  <c r="M351" i="13"/>
  <c r="K351" i="13"/>
  <c r="J351" i="13"/>
  <c r="M350" i="13"/>
  <c r="K350" i="13"/>
  <c r="J350" i="13"/>
  <c r="M349" i="13"/>
  <c r="K349" i="13"/>
  <c r="J349" i="13"/>
  <c r="M348" i="13"/>
  <c r="K348" i="13"/>
  <c r="J348" i="13"/>
  <c r="M347" i="13"/>
  <c r="K347" i="13"/>
  <c r="J347" i="13"/>
  <c r="M346" i="13"/>
  <c r="K346" i="13"/>
  <c r="J346" i="13"/>
  <c r="M345" i="13"/>
  <c r="K345" i="13"/>
  <c r="J345" i="13"/>
  <c r="M344" i="13"/>
  <c r="K344" i="13"/>
  <c r="J344" i="13"/>
  <c r="M343" i="13"/>
  <c r="K343" i="13"/>
  <c r="J343" i="13"/>
  <c r="M342" i="13"/>
  <c r="K342" i="13"/>
  <c r="J342" i="13"/>
  <c r="M341" i="13"/>
  <c r="K341" i="13"/>
  <c r="J341" i="13"/>
  <c r="M340" i="13"/>
  <c r="K340" i="13"/>
  <c r="J340" i="13"/>
  <c r="M339" i="13"/>
  <c r="K339" i="13"/>
  <c r="J339" i="13"/>
  <c r="K338" i="13"/>
  <c r="J338" i="13"/>
  <c r="I338" i="13"/>
  <c r="G338" i="13"/>
  <c r="K337" i="13"/>
  <c r="J337" i="13"/>
  <c r="I337" i="13"/>
  <c r="G337" i="13"/>
  <c r="K336" i="13"/>
  <c r="J336" i="13"/>
  <c r="I336" i="13"/>
  <c r="G336" i="13"/>
  <c r="K335" i="13"/>
  <c r="J335" i="13"/>
  <c r="I335" i="13"/>
  <c r="G335" i="13"/>
  <c r="K334" i="13"/>
  <c r="J334" i="13"/>
  <c r="I334" i="13"/>
  <c r="G334" i="13"/>
  <c r="K333" i="13"/>
  <c r="J333" i="13"/>
  <c r="I333" i="13"/>
  <c r="G333" i="13"/>
  <c r="K332" i="13"/>
  <c r="J332" i="13"/>
  <c r="I332" i="13"/>
  <c r="K331" i="13"/>
  <c r="J331" i="13"/>
  <c r="I331" i="13"/>
  <c r="G331" i="13"/>
  <c r="K330" i="13"/>
  <c r="J330" i="13"/>
  <c r="I330" i="13"/>
  <c r="K329" i="13"/>
  <c r="J329" i="13"/>
  <c r="I329" i="13"/>
  <c r="K328" i="13"/>
  <c r="J328" i="13"/>
  <c r="I328" i="13"/>
  <c r="G328" i="13"/>
  <c r="K327" i="13"/>
  <c r="J327" i="13"/>
  <c r="I327" i="13"/>
  <c r="K326" i="13"/>
  <c r="J326" i="13"/>
  <c r="I326" i="13"/>
  <c r="K325" i="13"/>
  <c r="J325" i="13"/>
  <c r="I325" i="13"/>
  <c r="K324" i="13"/>
  <c r="J324" i="13"/>
  <c r="I324" i="13"/>
  <c r="K323" i="13"/>
  <c r="J323" i="13"/>
  <c r="I323" i="13"/>
  <c r="K322" i="13"/>
  <c r="J322" i="13"/>
  <c r="I322" i="13"/>
  <c r="K321" i="13"/>
  <c r="J321" i="13"/>
  <c r="I321" i="13"/>
  <c r="K320" i="13"/>
  <c r="J320" i="13"/>
  <c r="I320" i="13"/>
  <c r="K319" i="13"/>
  <c r="J319" i="13"/>
  <c r="I319" i="13"/>
  <c r="K318" i="13"/>
  <c r="J318" i="13"/>
  <c r="I318" i="13"/>
  <c r="K317" i="13"/>
  <c r="J317" i="13"/>
  <c r="I317" i="13"/>
  <c r="K316" i="13"/>
  <c r="J316" i="13"/>
  <c r="I316" i="13"/>
  <c r="K315" i="13"/>
  <c r="J315" i="13"/>
  <c r="I315" i="13"/>
  <c r="K314" i="13"/>
  <c r="J314" i="13"/>
  <c r="I314" i="13"/>
  <c r="K313" i="13"/>
  <c r="J313" i="13"/>
  <c r="I313" i="13"/>
  <c r="K312" i="13"/>
  <c r="J312" i="13"/>
  <c r="I312" i="13"/>
  <c r="K311" i="13"/>
  <c r="J311" i="13"/>
  <c r="I311" i="13"/>
  <c r="K310" i="13"/>
  <c r="J310" i="13"/>
  <c r="I310" i="13"/>
  <c r="K309" i="13"/>
  <c r="J309" i="13"/>
  <c r="I309" i="13"/>
  <c r="K308" i="13"/>
  <c r="J308" i="13"/>
  <c r="I308" i="13"/>
  <c r="K307" i="13"/>
  <c r="J307" i="13"/>
  <c r="I307" i="13"/>
  <c r="K306" i="13"/>
  <c r="J306" i="13"/>
  <c r="I306" i="13"/>
  <c r="K305" i="13"/>
  <c r="J305" i="13"/>
  <c r="I305" i="13"/>
  <c r="K304" i="13"/>
  <c r="J304" i="13"/>
  <c r="I304" i="13"/>
  <c r="K303" i="13"/>
  <c r="J303" i="13"/>
  <c r="I303" i="13"/>
  <c r="K302" i="13"/>
  <c r="J302" i="13"/>
  <c r="I302" i="13"/>
  <c r="K301" i="13"/>
  <c r="J301" i="13"/>
  <c r="I301" i="13"/>
  <c r="K300" i="13"/>
  <c r="J300" i="13"/>
  <c r="I300" i="13"/>
  <c r="K299" i="13"/>
  <c r="J299" i="13"/>
  <c r="I299" i="13"/>
  <c r="K298" i="13"/>
  <c r="J298" i="13"/>
  <c r="I298" i="13"/>
  <c r="K297" i="13"/>
  <c r="J297" i="13"/>
  <c r="I297" i="13"/>
  <c r="K296" i="13"/>
  <c r="J296" i="13"/>
  <c r="I296" i="13"/>
  <c r="K295" i="13"/>
  <c r="J295" i="13"/>
  <c r="I295" i="13"/>
  <c r="K294" i="13"/>
  <c r="J294" i="13"/>
  <c r="I294" i="13"/>
  <c r="K293" i="13"/>
  <c r="J293" i="13"/>
  <c r="I293" i="13"/>
  <c r="K292" i="13"/>
  <c r="J292" i="13"/>
  <c r="I292" i="13"/>
  <c r="K291" i="13"/>
  <c r="J291" i="13"/>
  <c r="I291" i="13"/>
  <c r="K290" i="13"/>
  <c r="J290" i="13"/>
  <c r="I290" i="13"/>
  <c r="K289" i="13"/>
  <c r="J289" i="13"/>
  <c r="I289" i="13"/>
  <c r="K288" i="13"/>
  <c r="J288" i="13"/>
  <c r="I288" i="13"/>
  <c r="K287" i="13"/>
  <c r="J287" i="13"/>
  <c r="I287" i="13"/>
  <c r="K286" i="13"/>
  <c r="J286" i="13"/>
  <c r="I286" i="13"/>
  <c r="K285" i="13"/>
  <c r="J285" i="13"/>
  <c r="I285" i="13"/>
  <c r="K284" i="13"/>
  <c r="J284" i="13"/>
  <c r="I284" i="13"/>
  <c r="K283" i="13"/>
  <c r="J283" i="13"/>
  <c r="I283" i="13"/>
  <c r="K282" i="13"/>
  <c r="J282" i="13"/>
  <c r="I282" i="13"/>
  <c r="K281" i="13"/>
  <c r="J281" i="13"/>
  <c r="I281" i="13"/>
  <c r="K280" i="13"/>
  <c r="J280" i="13"/>
  <c r="I280" i="13"/>
  <c r="K279" i="13"/>
  <c r="J279" i="13"/>
  <c r="I279" i="13"/>
  <c r="K278" i="13"/>
  <c r="J278" i="13"/>
  <c r="I278" i="13"/>
  <c r="K277" i="13"/>
  <c r="J277" i="13"/>
  <c r="I277" i="13"/>
  <c r="K276" i="13"/>
  <c r="J276" i="13"/>
  <c r="I276" i="13"/>
  <c r="K275" i="13"/>
  <c r="J275" i="13"/>
  <c r="I275" i="13"/>
  <c r="K274" i="13"/>
  <c r="J274" i="13"/>
  <c r="I274" i="13"/>
  <c r="K273" i="13"/>
  <c r="J273" i="13"/>
  <c r="I273" i="13"/>
  <c r="K272" i="13"/>
  <c r="J272" i="13"/>
  <c r="I272" i="13"/>
  <c r="K271" i="13"/>
  <c r="J271" i="13"/>
  <c r="I271" i="13"/>
  <c r="K270" i="13"/>
  <c r="J270" i="13"/>
  <c r="I270" i="13"/>
  <c r="K269" i="13"/>
  <c r="J269" i="13"/>
  <c r="I269" i="13"/>
  <c r="K268" i="13"/>
  <c r="J268" i="13"/>
  <c r="I268" i="13"/>
  <c r="K267" i="13"/>
  <c r="J267" i="13"/>
  <c r="I267" i="13"/>
  <c r="K266" i="13"/>
  <c r="J266" i="13"/>
  <c r="I266" i="13"/>
  <c r="K265" i="13"/>
  <c r="J265" i="13"/>
  <c r="I265" i="13"/>
  <c r="K264" i="13"/>
  <c r="J264" i="13"/>
  <c r="I264" i="13"/>
  <c r="K263" i="13"/>
  <c r="J263" i="13"/>
  <c r="I263" i="13"/>
  <c r="K262" i="13"/>
  <c r="J262" i="13"/>
  <c r="I262" i="13"/>
  <c r="K261" i="13"/>
  <c r="J261" i="13"/>
  <c r="I261" i="13"/>
  <c r="K260" i="13"/>
  <c r="J260" i="13"/>
  <c r="I260" i="13"/>
  <c r="K259" i="13"/>
  <c r="J259" i="13"/>
  <c r="I259" i="13"/>
  <c r="K258" i="13"/>
  <c r="J258" i="13"/>
  <c r="I258" i="13"/>
  <c r="K257" i="13"/>
  <c r="J257" i="13"/>
  <c r="I257" i="13"/>
  <c r="K256" i="13"/>
  <c r="J256" i="13"/>
  <c r="I256" i="13"/>
  <c r="K255" i="13"/>
  <c r="J255" i="13"/>
  <c r="I255" i="13"/>
  <c r="K254" i="13"/>
  <c r="J254" i="13"/>
  <c r="I254" i="13"/>
  <c r="K253" i="13"/>
  <c r="J253" i="13"/>
  <c r="I253" i="13"/>
  <c r="K252" i="13"/>
  <c r="J252" i="13"/>
  <c r="I252" i="13"/>
  <c r="K251" i="13"/>
  <c r="J251" i="13"/>
  <c r="I251" i="13"/>
  <c r="K250" i="13"/>
  <c r="J250" i="13"/>
  <c r="I250" i="13"/>
  <c r="K249" i="13"/>
  <c r="J249" i="13"/>
  <c r="I249" i="13"/>
  <c r="K248" i="13"/>
  <c r="J248" i="13"/>
  <c r="I248" i="13"/>
  <c r="K247" i="13"/>
  <c r="J247" i="13"/>
  <c r="I247" i="13"/>
  <c r="K246" i="13"/>
  <c r="J246" i="13"/>
  <c r="I246" i="13"/>
  <c r="K245" i="13"/>
  <c r="J245" i="13"/>
  <c r="I245" i="13"/>
  <c r="K244" i="13"/>
  <c r="J244" i="13"/>
  <c r="I244" i="13"/>
  <c r="K243" i="13"/>
  <c r="J243" i="13"/>
  <c r="I243" i="13"/>
  <c r="K242" i="13"/>
  <c r="J242" i="13"/>
  <c r="I242" i="13"/>
  <c r="K241" i="13"/>
  <c r="J241" i="13"/>
  <c r="I241" i="13"/>
  <c r="K240" i="13"/>
  <c r="J240" i="13"/>
  <c r="I240" i="13"/>
  <c r="K239" i="13"/>
  <c r="J239" i="13"/>
  <c r="I239" i="13"/>
  <c r="K238" i="13"/>
  <c r="J238" i="13"/>
  <c r="I238" i="13"/>
  <c r="K237" i="13"/>
  <c r="J237" i="13"/>
  <c r="I237" i="13"/>
  <c r="K236" i="13"/>
  <c r="J236" i="13"/>
  <c r="I236" i="13"/>
  <c r="K235" i="13"/>
  <c r="J235" i="13"/>
  <c r="I235" i="13"/>
  <c r="K234" i="13"/>
  <c r="J234" i="13"/>
  <c r="I234" i="13"/>
  <c r="K233" i="13"/>
  <c r="J233" i="13"/>
  <c r="I233" i="13"/>
  <c r="K232" i="13"/>
  <c r="J232" i="13"/>
  <c r="I232" i="13"/>
  <c r="K231" i="13"/>
  <c r="J231" i="13"/>
  <c r="I231" i="13"/>
  <c r="K230" i="13"/>
  <c r="J230" i="13"/>
  <c r="I230" i="13"/>
  <c r="K229" i="13"/>
  <c r="J229" i="13"/>
  <c r="I229" i="13"/>
  <c r="K228" i="13"/>
  <c r="J228" i="13"/>
  <c r="I228" i="13"/>
  <c r="K227" i="13"/>
  <c r="J227" i="13"/>
  <c r="I227" i="13"/>
  <c r="K226" i="13"/>
  <c r="J226" i="13"/>
  <c r="I226" i="13"/>
  <c r="K225" i="13"/>
  <c r="J225" i="13"/>
  <c r="I225" i="13"/>
  <c r="K224" i="13"/>
  <c r="J224" i="13"/>
  <c r="I224" i="13"/>
  <c r="K223" i="13"/>
  <c r="J223" i="13"/>
  <c r="I223" i="13"/>
  <c r="K222" i="13"/>
  <c r="J222" i="13"/>
  <c r="I222" i="13"/>
  <c r="K221" i="13"/>
  <c r="J221" i="13"/>
  <c r="I221" i="13"/>
  <c r="K220" i="13"/>
  <c r="J220" i="13"/>
  <c r="I220" i="13"/>
  <c r="K219" i="13"/>
  <c r="J219" i="13"/>
  <c r="I219" i="13"/>
  <c r="K218" i="13"/>
  <c r="J218" i="13"/>
  <c r="I218" i="13"/>
  <c r="K217" i="13"/>
  <c r="J217" i="13"/>
  <c r="I217" i="13"/>
  <c r="K216" i="13"/>
  <c r="J216" i="13"/>
  <c r="I216" i="13"/>
  <c r="K215" i="13"/>
  <c r="J215" i="13"/>
  <c r="I215" i="13"/>
  <c r="K214" i="13"/>
  <c r="J214" i="13"/>
  <c r="I214" i="13"/>
  <c r="K213" i="13"/>
  <c r="J213" i="13"/>
  <c r="I213" i="13"/>
  <c r="K212" i="13"/>
  <c r="J212" i="13"/>
  <c r="I212" i="13"/>
  <c r="K211" i="13"/>
  <c r="J211" i="13"/>
  <c r="I211" i="13"/>
  <c r="K210" i="13"/>
  <c r="J210" i="13"/>
  <c r="I210" i="13"/>
  <c r="K209" i="13"/>
  <c r="J209" i="13"/>
  <c r="I209" i="13"/>
  <c r="K208" i="13"/>
  <c r="J208" i="13"/>
  <c r="I208" i="13"/>
  <c r="K207" i="13"/>
  <c r="J207" i="13"/>
  <c r="I207" i="13"/>
  <c r="K206" i="13"/>
  <c r="J206" i="13"/>
  <c r="I206" i="13"/>
  <c r="K205" i="13"/>
  <c r="J205" i="13"/>
  <c r="I205" i="13"/>
  <c r="K204" i="13"/>
  <c r="J204" i="13"/>
  <c r="I204" i="13"/>
  <c r="K203" i="13"/>
  <c r="J203" i="13"/>
  <c r="I203" i="13"/>
  <c r="K202" i="13"/>
  <c r="J202" i="13"/>
  <c r="I202" i="13"/>
  <c r="K195" i="13"/>
  <c r="J195" i="13"/>
  <c r="I195" i="13"/>
  <c r="K194" i="13"/>
  <c r="J194" i="13"/>
  <c r="I194" i="13"/>
  <c r="I192" i="13"/>
  <c r="I191" i="13"/>
  <c r="I190" i="13"/>
  <c r="I189" i="13"/>
  <c r="I188" i="13"/>
  <c r="I187" i="13"/>
  <c r="I186" i="13"/>
  <c r="I185" i="13"/>
  <c r="I184" i="13"/>
  <c r="I183" i="13"/>
  <c r="I182" i="13"/>
  <c r="I181" i="13"/>
  <c r="I180" i="13"/>
  <c r="I179" i="13"/>
  <c r="I178" i="13"/>
  <c r="I177" i="13"/>
  <c r="I176" i="13"/>
  <c r="K175" i="13"/>
  <c r="I175" i="13"/>
  <c r="I174" i="13"/>
  <c r="I173" i="13"/>
  <c r="I172" i="13"/>
  <c r="I171" i="13"/>
  <c r="I170" i="13"/>
  <c r="I169" i="13"/>
  <c r="I168" i="13"/>
  <c r="I167" i="13"/>
  <c r="I166" i="13"/>
  <c r="I165" i="13"/>
  <c r="I164" i="13"/>
  <c r="I163" i="13"/>
  <c r="I162" i="13"/>
  <c r="I161" i="13"/>
  <c r="I160" i="13"/>
  <c r="K158" i="13"/>
  <c r="I158" i="13"/>
  <c r="I157" i="13"/>
  <c r="I156" i="13"/>
  <c r="I155" i="13"/>
  <c r="I154" i="13"/>
  <c r="I153" i="13"/>
  <c r="E153" i="13"/>
  <c r="I152" i="13"/>
  <c r="I151" i="13"/>
  <c r="I150" i="13"/>
  <c r="I149" i="13"/>
  <c r="I148" i="13"/>
  <c r="I147" i="13"/>
  <c r="I146" i="13"/>
  <c r="I145" i="13"/>
  <c r="I144" i="13"/>
  <c r="I143" i="13"/>
  <c r="I142" i="13"/>
  <c r="I141" i="13"/>
  <c r="I140" i="13"/>
  <c r="I139" i="13"/>
  <c r="I138" i="13"/>
  <c r="K137" i="13"/>
  <c r="I137" i="13"/>
  <c r="I136" i="13"/>
  <c r="I135" i="13"/>
  <c r="I134" i="13"/>
  <c r="I133" i="13"/>
  <c r="I132" i="13"/>
  <c r="I131" i="13"/>
  <c r="I130" i="13"/>
  <c r="I129" i="13"/>
  <c r="I128" i="13"/>
  <c r="I127" i="13"/>
  <c r="I126" i="13"/>
  <c r="I125" i="13"/>
  <c r="I124" i="13"/>
  <c r="I123" i="13"/>
  <c r="K122" i="13"/>
  <c r="I122" i="13"/>
  <c r="K121" i="13"/>
  <c r="I121" i="13"/>
  <c r="K120" i="13"/>
  <c r="I120" i="13"/>
  <c r="K119" i="13"/>
  <c r="I119" i="13"/>
  <c r="K118" i="13"/>
  <c r="I118" i="13"/>
  <c r="K117" i="13"/>
  <c r="I117" i="13"/>
  <c r="K116" i="13"/>
  <c r="I116" i="13"/>
  <c r="K115" i="13"/>
  <c r="I115" i="13"/>
  <c r="K114" i="13"/>
  <c r="I114" i="13"/>
  <c r="K113" i="13"/>
  <c r="I113" i="13"/>
  <c r="K112" i="13"/>
  <c r="I112" i="13"/>
  <c r="K111" i="13"/>
  <c r="I111" i="13"/>
  <c r="K110" i="13"/>
  <c r="I110" i="13"/>
  <c r="K109" i="13"/>
  <c r="I109" i="13"/>
  <c r="K108" i="13"/>
  <c r="I108" i="13"/>
  <c r="K107" i="13"/>
  <c r="I107" i="13"/>
  <c r="K106" i="13"/>
  <c r="J106" i="13"/>
  <c r="I106" i="13"/>
  <c r="K105" i="13"/>
  <c r="J105" i="13"/>
  <c r="I105" i="13"/>
  <c r="K104" i="13"/>
  <c r="J104" i="13"/>
  <c r="I104" i="13"/>
  <c r="K103" i="13"/>
  <c r="I103" i="13"/>
  <c r="K102" i="13"/>
  <c r="I102" i="13"/>
  <c r="K101" i="13"/>
  <c r="J101" i="13"/>
  <c r="I101" i="13"/>
  <c r="K100" i="13"/>
  <c r="J100" i="13"/>
  <c r="I100" i="13"/>
  <c r="K99" i="13"/>
  <c r="J99" i="13"/>
  <c r="I99" i="13"/>
  <c r="K98" i="13"/>
  <c r="J98" i="13"/>
  <c r="I98" i="13"/>
  <c r="K97" i="13"/>
  <c r="J97" i="13"/>
  <c r="I97" i="13"/>
  <c r="K96" i="13"/>
  <c r="I96" i="13"/>
  <c r="K95" i="13"/>
  <c r="J95" i="13"/>
  <c r="I95" i="13"/>
  <c r="K94" i="13"/>
  <c r="J94" i="13"/>
  <c r="I94" i="13"/>
  <c r="K93" i="13"/>
  <c r="J93" i="13"/>
  <c r="I93" i="13"/>
  <c r="K92" i="13"/>
  <c r="I92" i="13"/>
  <c r="K91" i="13"/>
  <c r="I91" i="13"/>
  <c r="K90" i="13"/>
  <c r="I90" i="13"/>
  <c r="K83" i="13"/>
  <c r="I83" i="13"/>
  <c r="K82" i="13"/>
  <c r="I82" i="13"/>
  <c r="K81" i="13"/>
  <c r="J81" i="13"/>
  <c r="I81" i="13"/>
  <c r="K80" i="13"/>
  <c r="J80" i="13"/>
  <c r="I80" i="13"/>
  <c r="K79" i="13"/>
  <c r="J79" i="13"/>
  <c r="I79" i="13"/>
  <c r="K78" i="13"/>
  <c r="J78" i="13"/>
  <c r="I78" i="13"/>
  <c r="K77" i="13"/>
  <c r="J77" i="13"/>
  <c r="I77" i="13"/>
  <c r="K76" i="13"/>
  <c r="J76" i="13"/>
  <c r="I76" i="13"/>
  <c r="K75" i="13"/>
  <c r="J75" i="13"/>
  <c r="I75" i="13"/>
  <c r="K74" i="13"/>
  <c r="J74" i="13"/>
  <c r="I74" i="13"/>
  <c r="K73" i="13"/>
  <c r="J73" i="13"/>
  <c r="I73" i="13"/>
  <c r="K72" i="13"/>
  <c r="J72" i="13"/>
  <c r="I72" i="13"/>
  <c r="K71" i="13"/>
  <c r="J71" i="13"/>
  <c r="I71" i="13"/>
  <c r="K70" i="13"/>
  <c r="J70" i="13"/>
  <c r="I70" i="13"/>
  <c r="K69" i="13"/>
  <c r="J69" i="13"/>
  <c r="I69" i="13"/>
  <c r="K68" i="13"/>
  <c r="J68" i="13"/>
  <c r="I68" i="13"/>
  <c r="K67" i="13"/>
  <c r="J67" i="13"/>
  <c r="I67" i="13"/>
  <c r="K66" i="13"/>
  <c r="J66" i="13"/>
  <c r="I66" i="13"/>
  <c r="K65" i="13"/>
  <c r="J65" i="13"/>
  <c r="I65" i="13"/>
  <c r="K64" i="13"/>
  <c r="J64" i="13"/>
  <c r="I64" i="13"/>
  <c r="K63" i="13"/>
  <c r="J63" i="13"/>
  <c r="I63" i="13"/>
  <c r="K62" i="13"/>
  <c r="J62" i="13"/>
  <c r="I62" i="13"/>
  <c r="K61" i="13"/>
  <c r="J61" i="13"/>
  <c r="I61" i="13"/>
  <c r="K60" i="13"/>
  <c r="J60" i="13"/>
  <c r="I60" i="13"/>
  <c r="K59" i="13"/>
  <c r="J59" i="13"/>
  <c r="I59" i="13"/>
  <c r="F59" i="13"/>
  <c r="K58" i="13"/>
  <c r="J58" i="13"/>
  <c r="I58" i="13"/>
  <c r="K57" i="13"/>
  <c r="J57" i="13"/>
  <c r="I57" i="13"/>
  <c r="F57" i="13"/>
  <c r="K56" i="13"/>
  <c r="J56" i="13"/>
  <c r="I56" i="13"/>
  <c r="K55" i="13"/>
  <c r="J55" i="13"/>
  <c r="I55" i="13"/>
  <c r="K54" i="13"/>
  <c r="J54" i="13"/>
  <c r="I54" i="13"/>
  <c r="K53" i="13"/>
  <c r="K52" i="13"/>
  <c r="J52" i="13"/>
  <c r="I52" i="13"/>
  <c r="K43" i="13"/>
  <c r="J43" i="13"/>
  <c r="I43" i="13"/>
  <c r="K42" i="13"/>
  <c r="J42" i="13"/>
  <c r="I42" i="13"/>
  <c r="K41" i="13"/>
  <c r="J41" i="13"/>
  <c r="I41" i="13"/>
  <c r="K40" i="13"/>
  <c r="J40" i="13"/>
  <c r="I40" i="13"/>
  <c r="K37" i="13"/>
  <c r="J37" i="13"/>
  <c r="I37" i="13"/>
  <c r="K36" i="13"/>
  <c r="J36" i="13"/>
  <c r="I36" i="13"/>
  <c r="K35" i="13"/>
  <c r="J35" i="13"/>
  <c r="I35" i="13"/>
  <c r="K34" i="13"/>
  <c r="J34" i="13"/>
  <c r="I34" i="13"/>
  <c r="K33" i="13"/>
  <c r="J33" i="13"/>
  <c r="I33" i="13"/>
  <c r="K32" i="13"/>
  <c r="J32" i="13"/>
  <c r="I32" i="13"/>
  <c r="K31" i="13"/>
  <c r="J31" i="13"/>
  <c r="I31" i="13"/>
  <c r="K30" i="13"/>
  <c r="J30" i="13"/>
  <c r="I30" i="13"/>
  <c r="K29" i="13"/>
  <c r="J29" i="13"/>
  <c r="I29" i="13"/>
  <c r="K28" i="13"/>
  <c r="J28" i="13"/>
  <c r="I28" i="13"/>
  <c r="K27" i="13"/>
  <c r="J27" i="13"/>
  <c r="I27" i="13"/>
  <c r="K26" i="13"/>
  <c r="J26" i="13"/>
  <c r="I26" i="13"/>
  <c r="K25" i="13"/>
  <c r="J25" i="13"/>
  <c r="I25" i="13"/>
  <c r="K24" i="13"/>
  <c r="J24" i="13"/>
  <c r="I24" i="13"/>
  <c r="K23" i="13"/>
  <c r="J23" i="13"/>
  <c r="I23" i="13"/>
  <c r="K22" i="13"/>
  <c r="J22" i="13"/>
  <c r="I22" i="13"/>
  <c r="K21" i="13"/>
  <c r="J21" i="13"/>
  <c r="I21" i="13"/>
  <c r="K20" i="13"/>
  <c r="J20" i="13"/>
  <c r="I20" i="13"/>
  <c r="K19" i="13"/>
  <c r="J19" i="13"/>
  <c r="I19" i="13"/>
  <c r="K18" i="13"/>
  <c r="J18" i="13"/>
  <c r="I18" i="13"/>
  <c r="K17" i="13"/>
  <c r="J17" i="13"/>
  <c r="I17" i="13"/>
  <c r="K16" i="13"/>
  <c r="J16" i="13"/>
  <c r="I16" i="13"/>
  <c r="K15" i="13"/>
  <c r="J15" i="13"/>
  <c r="I15" i="13"/>
  <c r="K14" i="13"/>
  <c r="J14" i="13"/>
  <c r="I14" i="13"/>
  <c r="K13" i="13"/>
  <c r="J13" i="13"/>
  <c r="I13" i="13"/>
  <c r="K12" i="13"/>
  <c r="J12" i="13"/>
  <c r="I12" i="13"/>
  <c r="K11" i="13"/>
  <c r="J11" i="13"/>
  <c r="I11" i="13"/>
  <c r="K10" i="13"/>
  <c r="J10" i="13"/>
  <c r="I10" i="13"/>
  <c r="K9" i="13"/>
  <c r="J9" i="13"/>
  <c r="I9" i="13"/>
  <c r="K8" i="13"/>
  <c r="J8" i="13"/>
  <c r="I8" i="13"/>
  <c r="K7" i="13"/>
  <c r="J7" i="13"/>
  <c r="I7" i="13"/>
  <c r="K6" i="13"/>
  <c r="I6" i="13"/>
  <c r="K5" i="13"/>
  <c r="J5" i="13"/>
  <c r="I5" i="13"/>
  <c r="K4" i="13"/>
  <c r="J4" i="13"/>
  <c r="I4" i="13"/>
  <c r="J37" i="11"/>
  <c r="L37" i="11"/>
  <c r="C10" i="12"/>
  <c r="C13" i="12"/>
  <c r="C11" i="12"/>
  <c r="C12" i="12"/>
  <c r="D13" i="12"/>
  <c r="I13" i="12"/>
  <c r="F15" i="3"/>
  <c r="I18" i="5"/>
  <c r="C8" i="12" s="1"/>
  <c r="E30" i="3"/>
  <c r="F41" i="3"/>
  <c r="K16" i="4"/>
  <c r="I10" i="5"/>
  <c r="B3" i="12" s="1"/>
  <c r="I13" i="5"/>
  <c r="C3" i="12" s="1"/>
  <c r="I14" i="5"/>
  <c r="C4" i="12" s="1"/>
  <c r="Q14" i="5"/>
  <c r="I15" i="5"/>
  <c r="C5" i="12" s="1"/>
  <c r="I16" i="5"/>
  <c r="C6" i="12"/>
  <c r="M16" i="5"/>
  <c r="N16" i="5"/>
  <c r="I17" i="5"/>
  <c r="C7" i="12" s="1"/>
  <c r="I19" i="5"/>
  <c r="I21" i="5"/>
  <c r="I22" i="5"/>
  <c r="I23" i="5"/>
  <c r="G24" i="5"/>
  <c r="I24" i="5"/>
  <c r="I25" i="5"/>
  <c r="B10" i="12" s="1"/>
  <c r="I26" i="5"/>
  <c r="I27" i="5"/>
  <c r="I28" i="5"/>
  <c r="I29" i="5"/>
  <c r="I30" i="5"/>
  <c r="M30" i="5"/>
  <c r="N30" i="5"/>
  <c r="D37" i="4" s="1"/>
  <c r="I32" i="5"/>
  <c r="G35" i="5"/>
  <c r="I35" i="5"/>
  <c r="C34" i="11"/>
  <c r="G36" i="5"/>
  <c r="I36" i="5"/>
  <c r="C35" i="11" s="1"/>
  <c r="G37" i="5"/>
  <c r="I37" i="5"/>
  <c r="C36" i="11"/>
  <c r="M37" i="5"/>
  <c r="N37" i="5"/>
  <c r="D50" i="4" s="1"/>
  <c r="M43" i="5"/>
  <c r="K52" i="5"/>
  <c r="K65" i="5" s="1"/>
  <c r="K53" i="5"/>
  <c r="K66" i="5"/>
  <c r="E23" i="5"/>
  <c r="I33" i="5"/>
  <c r="P37" i="5"/>
  <c r="I31" i="5"/>
  <c r="O30" i="5" s="1"/>
  <c r="E22" i="5"/>
  <c r="I20" i="5"/>
  <c r="N24" i="5" s="1"/>
  <c r="D24" i="4" s="1"/>
  <c r="N22" i="5" s="1"/>
  <c r="H40" i="5"/>
  <c r="P24" i="5"/>
  <c r="D30" i="4" s="1"/>
  <c r="P22" i="5" s="1"/>
  <c r="N43" i="5"/>
  <c r="D63" i="4" s="1"/>
  <c r="C37" i="11"/>
  <c r="C38" i="11"/>
  <c r="D34" i="4" l="1"/>
  <c r="O63" i="4"/>
  <c r="L63" i="4" s="1"/>
  <c r="F24" i="4"/>
  <c r="M24" i="4"/>
  <c r="O24" i="4"/>
  <c r="L24" i="4" s="1"/>
  <c r="F60" i="4"/>
  <c r="O10" i="4"/>
  <c r="L10" i="4" s="1"/>
  <c r="D138" i="13"/>
  <c r="B138" i="13" s="1"/>
  <c r="C12" i="6" s="1"/>
  <c r="D269" i="13"/>
  <c r="B5" i="11" s="1"/>
  <c r="D513" i="13"/>
  <c r="A196" i="12" s="1"/>
  <c r="D536" i="13"/>
  <c r="A219" i="12" s="1"/>
  <c r="D499" i="13"/>
  <c r="A182" i="12" s="1"/>
  <c r="D310" i="13"/>
  <c r="B26" i="3" s="1"/>
  <c r="D192" i="13"/>
  <c r="C72" i="4" s="1"/>
  <c r="D323" i="13"/>
  <c r="B46" i="3" s="1"/>
  <c r="D67" i="13"/>
  <c r="B9" i="2" s="1"/>
  <c r="D133" i="13"/>
  <c r="C29" i="4" s="1"/>
  <c r="D115" i="13"/>
  <c r="C15" i="4" s="1"/>
  <c r="D226" i="13"/>
  <c r="D395" i="13"/>
  <c r="A78" i="12" s="1"/>
  <c r="D365" i="13"/>
  <c r="A48" i="12" s="1"/>
  <c r="D50" i="13"/>
  <c r="D159" i="13"/>
  <c r="B159" i="13" s="1"/>
  <c r="C14" i="6" s="1"/>
  <c r="D248" i="13"/>
  <c r="C8" i="10" s="1"/>
  <c r="D450" i="13"/>
  <c r="A133" i="12" s="1"/>
  <c r="D338" i="13"/>
  <c r="D175" i="13"/>
  <c r="D538" i="13"/>
  <c r="A221" i="12" s="1"/>
  <c r="D472" i="13"/>
  <c r="A155" i="12" s="1"/>
  <c r="D278" i="13"/>
  <c r="B14" i="11" s="1"/>
  <c r="D547" i="13"/>
  <c r="A230" i="12" s="1"/>
  <c r="D111" i="13"/>
  <c r="C12" i="4" s="1"/>
  <c r="D145" i="13"/>
  <c r="D202" i="13"/>
  <c r="C13" i="3" s="1"/>
  <c r="G16" i="5" s="1"/>
  <c r="K6" i="12" s="1"/>
  <c r="D230" i="13"/>
  <c r="D276" i="13"/>
  <c r="B12" i="11" s="1"/>
  <c r="D300" i="13"/>
  <c r="C9" i="3" s="1"/>
  <c r="D327" i="13"/>
  <c r="D376" i="13"/>
  <c r="A59" i="12" s="1"/>
  <c r="D425" i="13"/>
  <c r="A108" i="12" s="1"/>
  <c r="D459" i="13"/>
  <c r="A142" i="12" s="1"/>
  <c r="D526" i="13"/>
  <c r="A209" i="12" s="1"/>
  <c r="D78" i="13"/>
  <c r="D527" i="13"/>
  <c r="A210" i="12" s="1"/>
  <c r="D12" i="13"/>
  <c r="D10" i="1" s="1"/>
  <c r="D140" i="13"/>
  <c r="D345" i="13"/>
  <c r="A28" i="12" s="1"/>
  <c r="D21" i="13"/>
  <c r="D18" i="1" s="1"/>
  <c r="D63" i="13"/>
  <c r="B4" i="2" s="1"/>
  <c r="D554" i="13"/>
  <c r="A237" i="12" s="1"/>
  <c r="D551" i="13"/>
  <c r="A234" i="12" s="1"/>
  <c r="D541" i="13"/>
  <c r="A224" i="12" s="1"/>
  <c r="D531" i="13"/>
  <c r="A214" i="12" s="1"/>
  <c r="D519" i="13"/>
  <c r="A202" i="12" s="1"/>
  <c r="D509" i="13"/>
  <c r="A192" i="12" s="1"/>
  <c r="D493" i="13"/>
  <c r="A176" i="12" s="1"/>
  <c r="D485" i="13"/>
  <c r="A168" i="12" s="1"/>
  <c r="D474" i="13"/>
  <c r="A157" i="12" s="1"/>
  <c r="D465" i="13"/>
  <c r="A148" i="12" s="1"/>
  <c r="D455" i="13"/>
  <c r="A138" i="12" s="1"/>
  <c r="D447" i="13"/>
  <c r="A130" i="12" s="1"/>
  <c r="D430" i="13"/>
  <c r="A113" i="12" s="1"/>
  <c r="D427" i="13"/>
  <c r="A110" i="12" s="1"/>
  <c r="D410" i="13"/>
  <c r="A93" i="12" s="1"/>
  <c r="D402" i="13"/>
  <c r="A85" i="12" s="1"/>
  <c r="D392" i="13"/>
  <c r="A75" i="12" s="1"/>
  <c r="D384" i="13"/>
  <c r="A67" i="12" s="1"/>
  <c r="D372" i="13"/>
  <c r="A55" i="12" s="1"/>
  <c r="D364" i="13"/>
  <c r="A47" i="12" s="1"/>
  <c r="D347" i="13"/>
  <c r="A30" i="12" s="1"/>
  <c r="D339" i="13"/>
  <c r="A22" i="12" s="1"/>
  <c r="D321" i="13"/>
  <c r="C40" i="3" s="1"/>
  <c r="D313" i="13"/>
  <c r="B29" i="3" s="1"/>
  <c r="D296" i="13"/>
  <c r="B32" i="11" s="1"/>
  <c r="D288" i="13"/>
  <c r="B24" i="11" s="1"/>
  <c r="D280" i="13"/>
  <c r="B16" i="11" s="1"/>
  <c r="D272" i="13"/>
  <c r="B8" i="11" s="1"/>
  <c r="D253" i="13"/>
  <c r="C13" i="10" s="1"/>
  <c r="D243" i="13"/>
  <c r="B3" i="9" s="1"/>
  <c r="D214" i="13"/>
  <c r="D208" i="13"/>
  <c r="D193" i="13"/>
  <c r="D166" i="13"/>
  <c r="C52" i="4" s="1"/>
  <c r="D144" i="13"/>
  <c r="D136" i="13"/>
  <c r="C32" i="4" s="1"/>
  <c r="D103" i="13"/>
  <c r="D98" i="13"/>
  <c r="D82" i="4" s="1"/>
  <c r="D83" i="13"/>
  <c r="B12" i="2" s="1"/>
  <c r="D65" i="13"/>
  <c r="B7" i="2" s="1"/>
  <c r="D47" i="13"/>
  <c r="D32" i="13"/>
  <c r="B19" i="1" s="1"/>
  <c r="D14" i="13"/>
  <c r="D12" i="1" s="1"/>
  <c r="D556" i="13"/>
  <c r="A239" i="12" s="1"/>
  <c r="D522" i="13"/>
  <c r="A205" i="12" s="1"/>
  <c r="D381" i="13"/>
  <c r="A64" i="12" s="1"/>
  <c r="D75" i="13"/>
  <c r="D79" i="13"/>
  <c r="B22" i="2" s="1"/>
  <c r="D123" i="13"/>
  <c r="B123" i="13" s="1"/>
  <c r="C10" i="6" s="1"/>
  <c r="D302" i="13"/>
  <c r="F9" i="3" s="1"/>
  <c r="D417" i="13"/>
  <c r="A100" i="12" s="1"/>
  <c r="D528" i="13"/>
  <c r="A211" i="12" s="1"/>
  <c r="D13" i="13"/>
  <c r="D11" i="1" s="1"/>
  <c r="D147" i="13"/>
  <c r="C39" i="4" s="1"/>
  <c r="D371" i="13"/>
  <c r="A54" i="12" s="1"/>
  <c r="D22" i="13"/>
  <c r="D19" i="1" s="1"/>
  <c r="D94" i="13"/>
  <c r="D355" i="13"/>
  <c r="A38" i="12" s="1"/>
  <c r="D553" i="13"/>
  <c r="A236" i="12" s="1"/>
  <c r="D548" i="13"/>
  <c r="A231" i="12" s="1"/>
  <c r="D540" i="13"/>
  <c r="A223" i="12" s="1"/>
  <c r="D521" i="13"/>
  <c r="A204" i="12" s="1"/>
  <c r="D511" i="13"/>
  <c r="A194" i="12" s="1"/>
  <c r="D501" i="13"/>
  <c r="A184" i="12" s="1"/>
  <c r="D492" i="13"/>
  <c r="A175" i="12" s="1"/>
  <c r="D482" i="13"/>
  <c r="A165" i="12" s="1"/>
  <c r="D473" i="13"/>
  <c r="A156" i="12" s="1"/>
  <c r="D457" i="13"/>
  <c r="A140" i="12" s="1"/>
  <c r="D454" i="13"/>
  <c r="A137" i="12" s="1"/>
  <c r="D438" i="13"/>
  <c r="A121" i="12" s="1"/>
  <c r="D429" i="13"/>
  <c r="A112" i="12" s="1"/>
  <c r="D418" i="13"/>
  <c r="A101" i="12" s="1"/>
  <c r="D409" i="13"/>
  <c r="A92" i="12" s="1"/>
  <c r="D399" i="13"/>
  <c r="A82" i="12" s="1"/>
  <c r="D391" i="13"/>
  <c r="A74" i="12" s="1"/>
  <c r="D374" i="13"/>
  <c r="A57" i="12" s="1"/>
  <c r="D366" i="13"/>
  <c r="A49" i="12" s="1"/>
  <c r="D356" i="13"/>
  <c r="A39" i="12" s="1"/>
  <c r="D346" i="13"/>
  <c r="A29" i="12" s="1"/>
  <c r="D320" i="13"/>
  <c r="B40" i="3" s="1"/>
  <c r="D312" i="13"/>
  <c r="B28" i="3" s="1"/>
  <c r="D304" i="13"/>
  <c r="B18" i="3" s="1"/>
  <c r="D287" i="13"/>
  <c r="B23" i="11" s="1"/>
  <c r="D279" i="13"/>
  <c r="B15" i="11" s="1"/>
  <c r="D271" i="13"/>
  <c r="B7" i="11" s="1"/>
  <c r="D262" i="13"/>
  <c r="C22" i="10" s="1"/>
  <c r="D216" i="13"/>
  <c r="D211" i="13"/>
  <c r="D191" i="13"/>
  <c r="D163" i="13"/>
  <c r="D152" i="13"/>
  <c r="C42" i="4" s="1"/>
  <c r="D132" i="13"/>
  <c r="D128" i="13"/>
  <c r="D122" i="13"/>
  <c r="B10" i="6" s="1"/>
  <c r="D113" i="13"/>
  <c r="D107" i="13"/>
  <c r="C8" i="4" s="1"/>
  <c r="D99" i="13"/>
  <c r="D83" i="4" s="1"/>
  <c r="D97" i="13"/>
  <c r="D81" i="4" s="1"/>
  <c r="D91" i="13"/>
  <c r="D81" i="13"/>
  <c r="D59" i="13"/>
  <c r="B38" i="1" s="1"/>
  <c r="D42" i="13"/>
  <c r="B29" i="1" s="1"/>
  <c r="D561" i="13"/>
  <c r="D558" i="13"/>
  <c r="A241" i="12" s="1"/>
  <c r="D543" i="13"/>
  <c r="A226" i="12" s="1"/>
  <c r="D495" i="13"/>
  <c r="A178" i="12" s="1"/>
  <c r="D407" i="13"/>
  <c r="A90" i="12" s="1"/>
  <c r="D76" i="13"/>
  <c r="B18" i="2" s="1"/>
  <c r="D206" i="13"/>
  <c r="B7" i="6" s="1"/>
  <c r="D11" i="13"/>
  <c r="D9" i="1" s="1"/>
  <c r="D46" i="13"/>
  <c r="D286" i="13"/>
  <c r="B22" i="11" s="1"/>
  <c r="D19" i="13"/>
  <c r="D17" i="1" s="1"/>
  <c r="D64" i="13"/>
  <c r="B6" i="2" s="1"/>
  <c r="D95" i="13"/>
  <c r="D185" i="13"/>
  <c r="D555" i="13"/>
  <c r="A238" i="12" s="1"/>
  <c r="D550" i="13"/>
  <c r="A233" i="12" s="1"/>
  <c r="D542" i="13"/>
  <c r="A225" i="12" s="1"/>
  <c r="D530" i="13"/>
  <c r="A213" i="12" s="1"/>
  <c r="D520" i="13"/>
  <c r="A203" i="12" s="1"/>
  <c r="D503" i="13"/>
  <c r="A186" i="12" s="1"/>
  <c r="D494" i="13"/>
  <c r="A177" i="12" s="1"/>
  <c r="D484" i="13"/>
  <c r="A167" i="12" s="1"/>
  <c r="D475" i="13"/>
  <c r="A158" i="12" s="1"/>
  <c r="D464" i="13"/>
  <c r="A147" i="12" s="1"/>
  <c r="D456" i="13"/>
  <c r="A139" i="12" s="1"/>
  <c r="D446" i="13"/>
  <c r="A129" i="12" s="1"/>
  <c r="D437" i="13"/>
  <c r="A120" i="12" s="1"/>
  <c r="D420" i="13"/>
  <c r="A103" i="12" s="1"/>
  <c r="D411" i="13"/>
  <c r="A94" i="12" s="1"/>
  <c r="D401" i="13"/>
  <c r="A84" i="12" s="1"/>
  <c r="D393" i="13"/>
  <c r="A76" i="12" s="1"/>
  <c r="D383" i="13"/>
  <c r="A66" i="12" s="1"/>
  <c r="D373" i="13"/>
  <c r="A56" i="12" s="1"/>
  <c r="D358" i="13"/>
  <c r="A41" i="12" s="1"/>
  <c r="D348" i="13"/>
  <c r="A31" i="12" s="1"/>
  <c r="D335" i="13"/>
  <c r="D319" i="13"/>
  <c r="B39" i="3" s="1"/>
  <c r="D311" i="13"/>
  <c r="B27" i="3" s="1"/>
  <c r="D303" i="13"/>
  <c r="B15" i="3" s="1"/>
  <c r="D295" i="13"/>
  <c r="B31" i="11" s="1"/>
  <c r="D273" i="13"/>
  <c r="B9" i="11" s="1"/>
  <c r="D264" i="13"/>
  <c r="C24" i="10" s="1"/>
  <c r="D255" i="13"/>
  <c r="C15" i="10" s="1"/>
  <c r="D245" i="13"/>
  <c r="C5" i="10" s="1"/>
  <c r="D213" i="13"/>
  <c r="B3" i="6" s="1"/>
  <c r="D210" i="13"/>
  <c r="D207" i="13"/>
  <c r="A5" i="10" s="1"/>
  <c r="D168" i="13"/>
  <c r="D161" i="13"/>
  <c r="D149" i="13"/>
  <c r="D142" i="13"/>
  <c r="C36" i="4" s="1"/>
  <c r="D106" i="13"/>
  <c r="J8" i="4" s="1"/>
  <c r="D96" i="13"/>
  <c r="D8" i="4" s="1"/>
  <c r="D89" i="13"/>
  <c r="D80" i="13"/>
  <c r="B24" i="2" s="1"/>
  <c r="D55" i="13"/>
  <c r="B34" i="1" s="1"/>
  <c r="D41" i="13"/>
  <c r="B27" i="1" s="1"/>
  <c r="D24" i="13"/>
  <c r="D21" i="1" s="1"/>
  <c r="D560" i="13"/>
  <c r="A243" i="12" s="1"/>
  <c r="D557" i="13"/>
  <c r="A240" i="12" s="1"/>
  <c r="D512" i="13"/>
  <c r="A195" i="12" s="1"/>
  <c r="D169" i="13"/>
  <c r="D88" i="13"/>
  <c r="D93" i="13"/>
  <c r="B8" i="4" s="1"/>
  <c r="D552" i="13"/>
  <c r="A235" i="12" s="1"/>
  <c r="D529" i="13"/>
  <c r="A212" i="12" s="1"/>
  <c r="D466" i="13"/>
  <c r="A149" i="12" s="1"/>
  <c r="D439" i="13"/>
  <c r="A122" i="12" s="1"/>
  <c r="D385" i="13"/>
  <c r="A68" i="12" s="1"/>
  <c r="D357" i="13"/>
  <c r="A40" i="12" s="1"/>
  <c r="D281" i="13"/>
  <c r="B17" i="11" s="1"/>
  <c r="D244" i="13"/>
  <c r="C4" i="10" s="1"/>
  <c r="D198" i="13"/>
  <c r="D139" i="13"/>
  <c r="D109" i="13"/>
  <c r="D85" i="13"/>
  <c r="D23" i="13"/>
  <c r="D20" i="1" s="1"/>
  <c r="D504" i="13"/>
  <c r="A187" i="12" s="1"/>
  <c r="D476" i="13"/>
  <c r="A159" i="12" s="1"/>
  <c r="D449" i="13"/>
  <c r="A132" i="12" s="1"/>
  <c r="D403" i="13"/>
  <c r="A86" i="12" s="1"/>
  <c r="D375" i="13"/>
  <c r="A58" i="12" s="1"/>
  <c r="D336" i="13"/>
  <c r="D314" i="13"/>
  <c r="D29" i="3" s="1"/>
  <c r="D290" i="13"/>
  <c r="B26" i="11" s="1"/>
  <c r="D247" i="13"/>
  <c r="D199" i="13"/>
  <c r="D188" i="13"/>
  <c r="C69" i="4" s="1"/>
  <c r="D182" i="13"/>
  <c r="D170" i="13"/>
  <c r="C55" i="4" s="1"/>
  <c r="D155" i="13"/>
  <c r="D117" i="13"/>
  <c r="D102" i="13"/>
  <c r="F8" i="4" s="1"/>
  <c r="D86" i="13"/>
  <c r="D70" i="13"/>
  <c r="D57" i="13"/>
  <c r="B36" i="1" s="1"/>
  <c r="D52" i="13"/>
  <c r="M2" i="3" s="1"/>
  <c r="D35" i="13"/>
  <c r="B22" i="1" s="1"/>
  <c r="D25" i="13"/>
  <c r="D22" i="1" s="1"/>
  <c r="D15" i="13"/>
  <c r="D13" i="1" s="1"/>
  <c r="D5" i="13"/>
  <c r="D74" i="13"/>
  <c r="D329" i="13"/>
  <c r="F51" i="4" s="1"/>
  <c r="D153" i="13"/>
  <c r="D549" i="13"/>
  <c r="A232" i="12" s="1"/>
  <c r="D491" i="13"/>
  <c r="A174" i="12" s="1"/>
  <c r="D463" i="13"/>
  <c r="A146" i="12" s="1"/>
  <c r="D408" i="13"/>
  <c r="A91" i="12" s="1"/>
  <c r="D382" i="13"/>
  <c r="A65" i="12" s="1"/>
  <c r="D305" i="13"/>
  <c r="B19" i="3" s="1"/>
  <c r="D215" i="13"/>
  <c r="D130" i="13"/>
  <c r="D559" i="13"/>
  <c r="A242" i="12" s="1"/>
  <c r="D467" i="13"/>
  <c r="A150" i="12" s="1"/>
  <c r="D421" i="13"/>
  <c r="A104" i="12" s="1"/>
  <c r="D394" i="13"/>
  <c r="A77" i="12" s="1"/>
  <c r="D349" i="13"/>
  <c r="A32" i="12" s="1"/>
  <c r="D331" i="13"/>
  <c r="D306" i="13"/>
  <c r="B20" i="3" s="1"/>
  <c r="D265" i="13"/>
  <c r="C25" i="10" s="1"/>
  <c r="D246" i="13"/>
  <c r="C6" i="10" s="1"/>
  <c r="D194" i="13"/>
  <c r="B3" i="3" s="1"/>
  <c r="D186" i="13"/>
  <c r="D174" i="13"/>
  <c r="C58" i="4" s="1"/>
  <c r="D165" i="13"/>
  <c r="D124" i="13"/>
  <c r="D112" i="13"/>
  <c r="D101" i="13"/>
  <c r="D85" i="4" s="1"/>
  <c r="D82" i="13"/>
  <c r="D69" i="13"/>
  <c r="D66" i="13"/>
  <c r="B8" i="2" s="1"/>
  <c r="D56" i="13"/>
  <c r="B35" i="1" s="1"/>
  <c r="D48" i="13"/>
  <c r="D27" i="13"/>
  <c r="D24" i="1" s="1"/>
  <c r="D17" i="13"/>
  <c r="D15" i="1" s="1"/>
  <c r="D7" i="13"/>
  <c r="B5" i="1" s="1"/>
  <c r="D4" i="13"/>
  <c r="B2" i="1" s="1"/>
  <c r="D545" i="13"/>
  <c r="A228" i="12" s="1"/>
  <c r="D535" i="13"/>
  <c r="A218" i="12" s="1"/>
  <c r="D533" i="13"/>
  <c r="A216" i="12" s="1"/>
  <c r="D525" i="13"/>
  <c r="A208" i="12" s="1"/>
  <c r="D523" i="13"/>
  <c r="A206" i="12" s="1"/>
  <c r="D516" i="13"/>
  <c r="A199" i="12" s="1"/>
  <c r="D514" i="13"/>
  <c r="A197" i="12" s="1"/>
  <c r="D507" i="13"/>
  <c r="A190" i="12" s="1"/>
  <c r="D505" i="13"/>
  <c r="A188" i="12" s="1"/>
  <c r="D497" i="13"/>
  <c r="A180" i="12" s="1"/>
  <c r="D489" i="13"/>
  <c r="A172" i="12" s="1"/>
  <c r="D487" i="13"/>
  <c r="A170" i="12" s="1"/>
  <c r="D479" i="13"/>
  <c r="A162" i="12" s="1"/>
  <c r="D477" i="13"/>
  <c r="A160" i="12" s="1"/>
  <c r="D470" i="13"/>
  <c r="A153" i="12" s="1"/>
  <c r="D468" i="13"/>
  <c r="A151" i="12" s="1"/>
  <c r="D77" i="13"/>
  <c r="D490" i="13"/>
  <c r="A173" i="12" s="1"/>
  <c r="D20" i="13"/>
  <c r="D270" i="13"/>
  <c r="B6" i="11" s="1"/>
  <c r="D510" i="13"/>
  <c r="A193" i="12" s="1"/>
  <c r="D483" i="13"/>
  <c r="A166" i="12" s="1"/>
  <c r="D428" i="13"/>
  <c r="A111" i="12" s="1"/>
  <c r="D400" i="13"/>
  <c r="A83" i="12" s="1"/>
  <c r="D340" i="13"/>
  <c r="A23" i="12" s="1"/>
  <c r="D297" i="13"/>
  <c r="B7" i="3" s="1"/>
  <c r="D263" i="13"/>
  <c r="C23" i="10" s="1"/>
  <c r="D212" i="13"/>
  <c r="I2" i="6" s="1"/>
  <c r="D158" i="13"/>
  <c r="D125" i="13"/>
  <c r="D51" i="13"/>
  <c r="D486" i="13"/>
  <c r="A169" i="12" s="1"/>
  <c r="D440" i="13"/>
  <c r="A123" i="12" s="1"/>
  <c r="D412" i="13"/>
  <c r="A95" i="12" s="1"/>
  <c r="D367" i="13"/>
  <c r="A50" i="12" s="1"/>
  <c r="D341" i="13"/>
  <c r="A24" i="12" s="1"/>
  <c r="D322" i="13"/>
  <c r="D40" i="3" s="1"/>
  <c r="D282" i="13"/>
  <c r="B18" i="11" s="1"/>
  <c r="D256" i="13"/>
  <c r="C16" i="10" s="1"/>
  <c r="D218" i="13"/>
  <c r="K7" i="6" s="1"/>
  <c r="D190" i="13"/>
  <c r="D179" i="13"/>
  <c r="C62" i="4" s="1"/>
  <c r="D172" i="13"/>
  <c r="D151" i="13"/>
  <c r="D121" i="13"/>
  <c r="D108" i="13"/>
  <c r="D100" i="13"/>
  <c r="D84" i="4" s="1"/>
  <c r="D72" i="13"/>
  <c r="D68" i="13"/>
  <c r="B10" i="2" s="1"/>
  <c r="D60" i="13"/>
  <c r="B40" i="1" s="1"/>
  <c r="D44" i="13"/>
  <c r="D34" i="13"/>
  <c r="B21" i="1" s="1"/>
  <c r="D26" i="13"/>
  <c r="D23" i="1" s="1"/>
  <c r="D9" i="13"/>
  <c r="B8" i="1" s="1"/>
  <c r="D6" i="13"/>
  <c r="B3" i="1" s="1"/>
  <c r="D1" i="13"/>
  <c r="D448" i="13"/>
  <c r="A131" i="12" s="1"/>
  <c r="D330" i="13"/>
  <c r="F42" i="4" s="1"/>
  <c r="D146" i="13"/>
  <c r="D532" i="13"/>
  <c r="A215" i="12" s="1"/>
  <c r="D217" i="13"/>
  <c r="G7" i="6" s="1"/>
  <c r="D546" i="13"/>
  <c r="A229" i="12" s="1"/>
  <c r="D524" i="13"/>
  <c r="A207" i="12" s="1"/>
  <c r="D506" i="13"/>
  <c r="A189" i="12" s="1"/>
  <c r="D480" i="13"/>
  <c r="A163" i="12" s="1"/>
  <c r="D461" i="13"/>
  <c r="A144" i="12" s="1"/>
  <c r="D452" i="13"/>
  <c r="A135" i="12" s="1"/>
  <c r="D442" i="13"/>
  <c r="A125" i="12" s="1"/>
  <c r="D433" i="13"/>
  <c r="A116" i="12" s="1"/>
  <c r="D422" i="13"/>
  <c r="A105" i="12" s="1"/>
  <c r="D414" i="13"/>
  <c r="A97" i="12" s="1"/>
  <c r="D397" i="13"/>
  <c r="A80" i="12" s="1"/>
  <c r="D389" i="13"/>
  <c r="A72" i="12" s="1"/>
  <c r="D378" i="13"/>
  <c r="A61" i="12" s="1"/>
  <c r="D370" i="13"/>
  <c r="A53" i="12" s="1"/>
  <c r="D368" i="13"/>
  <c r="A51" i="12" s="1"/>
  <c r="D361" i="13"/>
  <c r="A44" i="12" s="1"/>
  <c r="D354" i="13"/>
  <c r="A37" i="12" s="1"/>
  <c r="D352" i="13"/>
  <c r="A35" i="12" s="1"/>
  <c r="D350" i="13"/>
  <c r="A33" i="12" s="1"/>
  <c r="D343" i="13"/>
  <c r="A26" i="12" s="1"/>
  <c r="D333" i="13"/>
  <c r="D326" i="13"/>
  <c r="D315" i="13"/>
  <c r="B33" i="3" s="1"/>
  <c r="D307" i="13"/>
  <c r="B21" i="3" s="1"/>
  <c r="D292" i="13"/>
  <c r="B28" i="11" s="1"/>
  <c r="D266" i="13"/>
  <c r="C26" i="10" s="1"/>
  <c r="D250" i="13"/>
  <c r="C10" i="10" s="1"/>
  <c r="D241" i="13"/>
  <c r="B3" i="7" s="1"/>
  <c r="D237" i="13"/>
  <c r="D233" i="13"/>
  <c r="D229" i="13"/>
  <c r="D225" i="13"/>
  <c r="D221" i="13"/>
  <c r="D205" i="13"/>
  <c r="A6" i="10" s="1"/>
  <c r="D200" i="13"/>
  <c r="D181" i="13"/>
  <c r="D162" i="13"/>
  <c r="C49" i="4" s="1"/>
  <c r="D148" i="13"/>
  <c r="D143" i="13"/>
  <c r="D134" i="13"/>
  <c r="D129" i="13"/>
  <c r="C26" i="4" s="1"/>
  <c r="D120" i="13"/>
  <c r="D61" i="13"/>
  <c r="B41" i="1" s="1"/>
  <c r="D28" i="13"/>
  <c r="B10" i="1" s="1"/>
  <c r="D2" i="13"/>
  <c r="D30" i="13"/>
  <c r="B17" i="1" s="1"/>
  <c r="D37" i="13"/>
  <c r="B24" i="1" s="1"/>
  <c r="D104" i="13"/>
  <c r="H8" i="4" s="1"/>
  <c r="D114" i="13"/>
  <c r="D137" i="13"/>
  <c r="D201" i="13"/>
  <c r="D481" i="13"/>
  <c r="A164" i="12" s="1"/>
  <c r="D156" i="13"/>
  <c r="D126" i="13"/>
  <c r="D164" i="13"/>
  <c r="D180" i="13"/>
  <c r="D390" i="13"/>
  <c r="A73" i="12" s="1"/>
  <c r="D453" i="13"/>
  <c r="A136" i="12" s="1"/>
  <c r="D500" i="13"/>
  <c r="A183" i="12" s="1"/>
  <c r="D318" i="13"/>
  <c r="B38" i="3" s="1"/>
  <c r="D539" i="13"/>
  <c r="A222" i="12" s="1"/>
  <c r="D419" i="13"/>
  <c r="A102" i="12" s="1"/>
  <c r="D289" i="13"/>
  <c r="B25" i="11" s="1"/>
  <c r="D118" i="13"/>
  <c r="C18" i="4" s="1"/>
  <c r="D386" i="13"/>
  <c r="A69" i="12" s="1"/>
  <c r="D298" i="13"/>
  <c r="B8" i="3" s="1"/>
  <c r="D160" i="13"/>
  <c r="D90" i="13"/>
  <c r="B3" i="4" s="1"/>
  <c r="D53" i="13"/>
  <c r="M3" i="3" s="1"/>
  <c r="D16" i="13"/>
  <c r="D14" i="1" s="1"/>
  <c r="D544" i="13"/>
  <c r="A227" i="12" s="1"/>
  <c r="D517" i="13"/>
  <c r="A200" i="12" s="1"/>
  <c r="D498" i="13"/>
  <c r="A181" i="12" s="1"/>
  <c r="D478" i="13"/>
  <c r="A161" i="12" s="1"/>
  <c r="D460" i="13"/>
  <c r="A143" i="12" s="1"/>
  <c r="D444" i="13"/>
  <c r="A127" i="12" s="1"/>
  <c r="D441" i="13"/>
  <c r="A124" i="12" s="1"/>
  <c r="D424" i="13"/>
  <c r="A107" i="12" s="1"/>
  <c r="D416" i="13"/>
  <c r="A99" i="12" s="1"/>
  <c r="D405" i="13"/>
  <c r="A88" i="12" s="1"/>
  <c r="D396" i="13"/>
  <c r="A79" i="12" s="1"/>
  <c r="D380" i="13"/>
  <c r="A63" i="12" s="1"/>
  <c r="D377" i="13"/>
  <c r="A60" i="12" s="1"/>
  <c r="D332" i="13"/>
  <c r="D325" i="13"/>
  <c r="D317" i="13"/>
  <c r="B37" i="3" s="1"/>
  <c r="D309" i="13"/>
  <c r="B23" i="3" s="1"/>
  <c r="D299" i="13"/>
  <c r="B9" i="3" s="1"/>
  <c r="D291" i="13"/>
  <c r="B27" i="11" s="1"/>
  <c r="D284" i="13"/>
  <c r="B20" i="11" s="1"/>
  <c r="D277" i="13"/>
  <c r="B13" i="11" s="1"/>
  <c r="D275" i="13"/>
  <c r="B11" i="11" s="1"/>
  <c r="D268" i="13"/>
  <c r="B4" i="11" s="1"/>
  <c r="D260" i="13"/>
  <c r="C20" i="10" s="1"/>
  <c r="D257" i="13"/>
  <c r="C17" i="10" s="1"/>
  <c r="D249" i="13"/>
  <c r="C9" i="10" s="1"/>
  <c r="D240" i="13"/>
  <c r="D236" i="13"/>
  <c r="D232" i="13"/>
  <c r="D228" i="13"/>
  <c r="B23" i="8" s="1"/>
  <c r="D224" i="13"/>
  <c r="D204" i="13"/>
  <c r="A2" i="10" s="1"/>
  <c r="D196" i="13"/>
  <c r="D176" i="13"/>
  <c r="D157" i="13"/>
  <c r="C45" i="4" s="1"/>
  <c r="D87" i="13"/>
  <c r="D49" i="13"/>
  <c r="D18" i="13"/>
  <c r="D16" i="1" s="1"/>
  <c r="D3" i="13"/>
  <c r="D171" i="13"/>
  <c r="D261" i="13"/>
  <c r="C21" i="10" s="1"/>
  <c r="D508" i="13"/>
  <c r="A191" i="12" s="1"/>
  <c r="D54" i="13"/>
  <c r="B33" i="1" s="1"/>
  <c r="D189" i="13"/>
  <c r="D252" i="13"/>
  <c r="C12" i="10" s="1"/>
  <c r="D294" i="13"/>
  <c r="B30" i="11" s="1"/>
  <c r="D363" i="13"/>
  <c r="A46" i="12" s="1"/>
  <c r="D436" i="13"/>
  <c r="A119" i="12" s="1"/>
  <c r="D502" i="13"/>
  <c r="A185" i="12" s="1"/>
  <c r="D254" i="13"/>
  <c r="C14" i="10" s="1"/>
  <c r="D92" i="13"/>
  <c r="D458" i="13"/>
  <c r="A141" i="12" s="1"/>
  <c r="D359" i="13"/>
  <c r="A42" i="12" s="1"/>
  <c r="D274" i="13"/>
  <c r="B10" i="11" s="1"/>
  <c r="D184" i="13"/>
  <c r="C66" i="4" s="1"/>
  <c r="D135" i="13"/>
  <c r="D71" i="13"/>
  <c r="D43" i="13"/>
  <c r="B31" i="1" s="1"/>
  <c r="D8" i="13"/>
  <c r="B6" i="1" s="1"/>
  <c r="D534" i="13"/>
  <c r="A217" i="12" s="1"/>
  <c r="D515" i="13"/>
  <c r="A198" i="12" s="1"/>
  <c r="D496" i="13"/>
  <c r="A179" i="12" s="1"/>
  <c r="D471" i="13"/>
  <c r="A154" i="12" s="1"/>
  <c r="D451" i="13"/>
  <c r="A134" i="12" s="1"/>
  <c r="D443" i="13"/>
  <c r="A126" i="12" s="1"/>
  <c r="D432" i="13"/>
  <c r="A115" i="12" s="1"/>
  <c r="D423" i="13"/>
  <c r="A106" i="12" s="1"/>
  <c r="D413" i="13"/>
  <c r="A96" i="12" s="1"/>
  <c r="D404" i="13"/>
  <c r="A87" i="12" s="1"/>
  <c r="D388" i="13"/>
  <c r="A71" i="12" s="1"/>
  <c r="D379" i="13"/>
  <c r="A62" i="12" s="1"/>
  <c r="D369" i="13"/>
  <c r="A52" i="12" s="1"/>
  <c r="D362" i="13"/>
  <c r="A45" i="12" s="1"/>
  <c r="D360" i="13"/>
  <c r="A43" i="12" s="1"/>
  <c r="D353" i="13"/>
  <c r="A36" i="12" s="1"/>
  <c r="D351" i="13"/>
  <c r="A34" i="12" s="1"/>
  <c r="D344" i="13"/>
  <c r="A27" i="12" s="1"/>
  <c r="D342" i="13"/>
  <c r="D328" i="13"/>
  <c r="D324" i="13"/>
  <c r="H39" i="5" s="1"/>
  <c r="C46" i="3" s="1"/>
  <c r="D316" i="13"/>
  <c r="B34" i="3" s="1"/>
  <c r="D301" i="13"/>
  <c r="D9" i="3" s="1"/>
  <c r="D293" i="13"/>
  <c r="B29" i="11" s="1"/>
  <c r="D259" i="13"/>
  <c r="C19" i="10" s="1"/>
  <c r="D251" i="13"/>
  <c r="C11" i="10" s="1"/>
  <c r="D239" i="13"/>
  <c r="D235" i="13"/>
  <c r="D231" i="13"/>
  <c r="D227" i="13"/>
  <c r="D223" i="13"/>
  <c r="D220" i="13"/>
  <c r="D203" i="13"/>
  <c r="D195" i="13"/>
  <c r="B4" i="3" s="1"/>
  <c r="D167" i="13"/>
  <c r="D141" i="13"/>
  <c r="D131" i="13"/>
  <c r="D127" i="13"/>
  <c r="D116" i="13"/>
  <c r="B116" i="13" s="1"/>
  <c r="K8" i="6" s="1"/>
  <c r="D73" i="13"/>
  <c r="B14" i="2" s="1"/>
  <c r="D45" i="13"/>
  <c r="D10" i="13"/>
  <c r="B9" i="1" s="1"/>
  <c r="D29" i="13"/>
  <c r="B11" i="1" s="1"/>
  <c r="D31" i="13"/>
  <c r="B18" i="1" s="1"/>
  <c r="D39" i="13"/>
  <c r="D105" i="13"/>
  <c r="I8" i="4" s="1"/>
  <c r="D119" i="13"/>
  <c r="D154" i="13"/>
  <c r="D187" i="13"/>
  <c r="D398" i="13"/>
  <c r="A81" i="12" s="1"/>
  <c r="D518" i="13"/>
  <c r="A201" i="12" s="1"/>
  <c r="D110" i="13"/>
  <c r="D173" i="13"/>
  <c r="D197" i="13"/>
  <c r="D183" i="13"/>
  <c r="C65" i="4" s="1"/>
  <c r="D462" i="13"/>
  <c r="A145" i="12" s="1"/>
  <c r="D242" i="13"/>
  <c r="B3" i="8" s="1"/>
  <c r="D445" i="13"/>
  <c r="A128" i="12" s="1"/>
  <c r="D150" i="13"/>
  <c r="D219" i="13"/>
  <c r="D234" i="13"/>
  <c r="D258" i="13"/>
  <c r="C18" i="10" s="1"/>
  <c r="D283" i="13"/>
  <c r="B19" i="11" s="1"/>
  <c r="D308" i="13"/>
  <c r="B22" i="3" s="1"/>
  <c r="D406" i="13"/>
  <c r="A89" i="12" s="1"/>
  <c r="D434" i="13"/>
  <c r="A117" i="12" s="1"/>
  <c r="D469" i="13"/>
  <c r="A152" i="12" s="1"/>
  <c r="D177" i="13"/>
  <c r="D40" i="13"/>
  <c r="B26" i="1" s="1"/>
  <c r="D62" i="13"/>
  <c r="B3" i="2" s="1"/>
  <c r="D426" i="13"/>
  <c r="A109" i="12" s="1"/>
  <c r="D58" i="13"/>
  <c r="B37" i="1" s="1"/>
  <c r="D537" i="13"/>
  <c r="A220" i="12" s="1"/>
  <c r="D435" i="13"/>
  <c r="A118" i="12" s="1"/>
  <c r="D178" i="13"/>
  <c r="D84" i="13"/>
  <c r="D36" i="13"/>
  <c r="B23" i="1" s="1"/>
  <c r="D222" i="13"/>
  <c r="D238" i="13"/>
  <c r="D267" i="13"/>
  <c r="D285" i="13"/>
  <c r="B21" i="11" s="1"/>
  <c r="D387" i="13"/>
  <c r="A70" i="12" s="1"/>
  <c r="D415" i="13"/>
  <c r="A98" i="12" s="1"/>
  <c r="D488" i="13"/>
  <c r="A171" i="12" s="1"/>
  <c r="D33" i="13"/>
  <c r="B20" i="1" s="1"/>
  <c r="D209" i="13"/>
  <c r="D334" i="13"/>
  <c r="D337" i="13"/>
  <c r="M30" i="4"/>
  <c r="O30" i="4"/>
  <c r="L30" i="4" s="1"/>
  <c r="F30" i="4"/>
  <c r="D13" i="4"/>
  <c r="F13" i="4"/>
  <c r="O13" i="4"/>
  <c r="L13" i="4" s="1"/>
  <c r="O50" i="4"/>
  <c r="L50" i="4" s="1"/>
  <c r="F10" i="4"/>
  <c r="K153" i="15"/>
  <c r="K3" i="15"/>
  <c r="I5" i="15"/>
  <c r="C24" i="12" s="1"/>
  <c r="K103" i="15"/>
  <c r="K200" i="15"/>
  <c r="K57" i="15"/>
  <c r="C34" i="4" l="1"/>
  <c r="C35" i="4" s="1"/>
  <c r="F71" i="4"/>
  <c r="B22" i="7"/>
  <c r="D60" i="4"/>
  <c r="F50" i="4"/>
  <c r="F34" i="4"/>
  <c r="O34" i="4"/>
  <c r="L34" i="4" s="1"/>
  <c r="N24" i="4"/>
  <c r="F63" i="4"/>
  <c r="E63" i="4"/>
  <c r="O40" i="4"/>
  <c r="L40" i="4" s="1"/>
  <c r="F40" i="4"/>
  <c r="O37" i="4"/>
  <c r="L37" i="4" s="1"/>
  <c r="F37" i="4"/>
  <c r="E37" i="4"/>
  <c r="D40" i="4"/>
  <c r="M40" i="4" s="1"/>
  <c r="D56" i="4"/>
  <c r="E56" i="4" s="1"/>
  <c r="O56" i="4"/>
  <c r="L56" i="4" s="1"/>
  <c r="F56" i="4"/>
  <c r="B12" i="3"/>
  <c r="F15" i="5" s="1"/>
  <c r="E15" i="5" s="1"/>
  <c r="J5" i="12" s="1"/>
  <c r="B11" i="3"/>
  <c r="F14" i="5" s="1"/>
  <c r="E14" i="5" s="1"/>
  <c r="J4" i="12" s="1"/>
  <c r="B10" i="3"/>
  <c r="F13" i="5" s="1"/>
  <c r="E13" i="5" s="1"/>
  <c r="J3" i="12" s="1"/>
  <c r="D10" i="3"/>
  <c r="B2" i="4"/>
  <c r="B14" i="3"/>
  <c r="F17" i="5" s="1"/>
  <c r="E17" i="5" s="1"/>
  <c r="J7" i="12" s="1"/>
  <c r="L7" i="12" s="1"/>
  <c r="M7" i="12" s="1"/>
  <c r="D11" i="3"/>
  <c r="B20" i="7"/>
  <c r="A25" i="12"/>
  <c r="B19" i="7"/>
  <c r="C16" i="4"/>
  <c r="C17" i="4" s="1"/>
  <c r="B38" i="9"/>
  <c r="F55" i="4"/>
  <c r="F69" i="4"/>
  <c r="F62" i="4"/>
  <c r="F12" i="4"/>
  <c r="E30" i="4"/>
  <c r="F68" i="4"/>
  <c r="C22" i="4"/>
  <c r="C23" i="4" s="1"/>
  <c r="F58" i="4"/>
  <c r="B43" i="3"/>
  <c r="F37" i="5" s="1"/>
  <c r="H37" i="5" s="1"/>
  <c r="A36" i="11" s="1"/>
  <c r="N30" i="4"/>
  <c r="C47" i="4"/>
  <c r="C48" i="4" s="1"/>
  <c r="C21" i="4"/>
  <c r="D15" i="3"/>
  <c r="H18" i="5" s="1"/>
  <c r="D8" i="12" s="1"/>
  <c r="B30" i="3"/>
  <c r="H27" i="5" s="1"/>
  <c r="A1" i="10"/>
  <c r="B119" i="13"/>
  <c r="O8" i="6" s="1"/>
  <c r="C19" i="4"/>
  <c r="C20" i="4" s="1"/>
  <c r="B167" i="13"/>
  <c r="K14" i="6" s="1"/>
  <c r="C53" i="4"/>
  <c r="C54" i="4" s="1"/>
  <c r="C60" i="4"/>
  <c r="C61" i="4" s="1"/>
  <c r="B176" i="13"/>
  <c r="C16" i="6" s="1"/>
  <c r="C63" i="4"/>
  <c r="C64" i="4" s="1"/>
  <c r="B180" i="13"/>
  <c r="G16" i="6" s="1"/>
  <c r="C30" i="4"/>
  <c r="C31" i="4" s="1"/>
  <c r="B134" i="13"/>
  <c r="O10" i="6" s="1"/>
  <c r="C46" i="4"/>
  <c r="B14" i="6"/>
  <c r="B21" i="8"/>
  <c r="B158" i="13"/>
  <c r="B36" i="3" s="1"/>
  <c r="B15" i="2"/>
  <c r="B19" i="2"/>
  <c r="C67" i="4"/>
  <c r="C68" i="4" s="1"/>
  <c r="B185" i="13"/>
  <c r="K16" i="6" s="1"/>
  <c r="A4" i="10"/>
  <c r="B244" i="13"/>
  <c r="C24" i="4"/>
  <c r="C25" i="4" s="1"/>
  <c r="B127" i="13"/>
  <c r="G10" i="6" s="1"/>
  <c r="C37" i="4"/>
  <c r="C38" i="4" s="1"/>
  <c r="B143" i="13"/>
  <c r="G12" i="6" s="1"/>
  <c r="B5" i="4"/>
  <c r="B5" i="6"/>
  <c r="B2" i="2"/>
  <c r="B2" i="8"/>
  <c r="B2" i="6"/>
  <c r="B2" i="9"/>
  <c r="B2" i="3"/>
  <c r="B2" i="7"/>
  <c r="C7" i="6"/>
  <c r="B18" i="7"/>
  <c r="B16" i="2"/>
  <c r="B20" i="2"/>
  <c r="L13" i="6"/>
  <c r="H15" i="6"/>
  <c r="D18" i="8"/>
  <c r="P11" i="6"/>
  <c r="D23" i="8"/>
  <c r="D19" i="7"/>
  <c r="D22" i="7"/>
  <c r="D38" i="9"/>
  <c r="D25" i="9"/>
  <c r="D17" i="6"/>
  <c r="D22" i="9"/>
  <c r="D30" i="9"/>
  <c r="P15" i="6"/>
  <c r="D13" i="6"/>
  <c r="D21" i="9"/>
  <c r="D35" i="9"/>
  <c r="D27" i="9"/>
  <c r="D11" i="6"/>
  <c r="H9" i="6"/>
  <c r="D32" i="9"/>
  <c r="D9" i="6"/>
  <c r="D22" i="8"/>
  <c r="D19" i="9"/>
  <c r="H11" i="6"/>
  <c r="D20" i="9"/>
  <c r="D36" i="9"/>
  <c r="P13" i="6"/>
  <c r="P9" i="6"/>
  <c r="D33" i="9"/>
  <c r="D24" i="9"/>
  <c r="D21" i="7"/>
  <c r="D15" i="6"/>
  <c r="D37" i="9"/>
  <c r="D23" i="9"/>
  <c r="D20" i="7"/>
  <c r="D34" i="9"/>
  <c r="L9" i="6"/>
  <c r="H17" i="6"/>
  <c r="D19" i="8"/>
  <c r="L15" i="6"/>
  <c r="D26" i="9"/>
  <c r="D18" i="7"/>
  <c r="L17" i="6"/>
  <c r="D29" i="9"/>
  <c r="D21" i="8"/>
  <c r="H13" i="6"/>
  <c r="D31" i="9"/>
  <c r="D20" i="8"/>
  <c r="L11" i="6"/>
  <c r="D28" i="9"/>
  <c r="D18" i="9"/>
  <c r="P17" i="6"/>
  <c r="B32" i="3"/>
  <c r="D14" i="3"/>
  <c r="B41" i="3"/>
  <c r="F35" i="5" s="1"/>
  <c r="H35" i="5" s="1"/>
  <c r="D12" i="3"/>
  <c r="B42" i="3"/>
  <c r="F36" i="5" s="1"/>
  <c r="H36" i="5" s="1"/>
  <c r="A35" i="11" s="1"/>
  <c r="K35" i="11" s="1"/>
  <c r="B31" i="3"/>
  <c r="B13" i="3"/>
  <c r="F16" i="5" s="1"/>
  <c r="E16" i="5" s="1"/>
  <c r="J6" i="12" s="1"/>
  <c r="D13" i="3"/>
  <c r="C70" i="4"/>
  <c r="C71" i="4" s="1"/>
  <c r="B189" i="13"/>
  <c r="O16" i="6" s="1"/>
  <c r="C56" i="4"/>
  <c r="C57" i="4" s="1"/>
  <c r="B171" i="13"/>
  <c r="O14" i="6" s="1"/>
  <c r="B137" i="13"/>
  <c r="B25" i="3" s="1"/>
  <c r="B12" i="6"/>
  <c r="B20" i="8"/>
  <c r="C33" i="4"/>
  <c r="B148" i="13"/>
  <c r="K12" i="6" s="1"/>
  <c r="C40" i="4"/>
  <c r="C41" i="4" s="1"/>
  <c r="B130" i="13"/>
  <c r="K10" i="6" s="1"/>
  <c r="C27" i="4"/>
  <c r="C28" i="4" s="1"/>
  <c r="B153" i="13"/>
  <c r="O12" i="6" s="1"/>
  <c r="C43" i="4"/>
  <c r="C44" i="4" s="1"/>
  <c r="B19" i="8"/>
  <c r="B122" i="13"/>
  <c r="B17" i="3" s="1"/>
  <c r="B163" i="13"/>
  <c r="G14" i="6" s="1"/>
  <c r="C50" i="4"/>
  <c r="C51" i="4" s="1"/>
  <c r="E13" i="12"/>
  <c r="F13" i="12" s="1"/>
  <c r="C59" i="4"/>
  <c r="B175" i="13"/>
  <c r="B45" i="3" s="1"/>
  <c r="B22" i="8"/>
  <c r="B16" i="6"/>
  <c r="B21" i="7"/>
  <c r="O7" i="6"/>
  <c r="I4" i="6"/>
  <c r="F4" i="4"/>
  <c r="B74" i="4"/>
  <c r="B17" i="9"/>
  <c r="B17" i="8"/>
  <c r="B17" i="7"/>
  <c r="F32" i="4"/>
  <c r="F26" i="4"/>
  <c r="F45" i="4"/>
  <c r="F18" i="4"/>
  <c r="F65" i="4"/>
  <c r="F49" i="4"/>
  <c r="F52" i="4"/>
  <c r="F39" i="4"/>
  <c r="F36" i="4"/>
  <c r="F15" i="4"/>
  <c r="F66" i="4"/>
  <c r="F72" i="4"/>
  <c r="F29" i="4"/>
  <c r="C9" i="4"/>
  <c r="B8" i="6"/>
  <c r="B108" i="13"/>
  <c r="B6" i="3" s="1"/>
  <c r="B18" i="8"/>
  <c r="C13" i="4"/>
  <c r="C14" i="4" s="1"/>
  <c r="B112" i="13"/>
  <c r="G8" i="6" s="1"/>
  <c r="F48" i="4"/>
  <c r="F64" i="4"/>
  <c r="F23" i="4"/>
  <c r="F38" i="4"/>
  <c r="F61" i="4"/>
  <c r="F44" i="4"/>
  <c r="F57" i="4"/>
  <c r="F41" i="4"/>
  <c r="F20" i="4"/>
  <c r="F54" i="4"/>
  <c r="F31" i="4"/>
  <c r="F14" i="4"/>
  <c r="F17" i="4"/>
  <c r="F35" i="4"/>
  <c r="F25" i="4"/>
  <c r="F28" i="4"/>
  <c r="F11" i="4"/>
  <c r="B109" i="13"/>
  <c r="C8" i="6" s="1"/>
  <c r="C10" i="4"/>
  <c r="C11" i="4" s="1"/>
  <c r="E24" i="4"/>
  <c r="C11" i="3"/>
  <c r="G14" i="5" s="1"/>
  <c r="K4" i="12" s="1"/>
  <c r="C10" i="3"/>
  <c r="G13" i="5" s="1"/>
  <c r="K3" i="12" s="1"/>
  <c r="C14" i="3"/>
  <c r="G17" i="5" s="1"/>
  <c r="K7" i="12" s="1"/>
  <c r="C12" i="3"/>
  <c r="G15" i="5" s="1"/>
  <c r="K5" i="12" s="1"/>
  <c r="E60" i="4"/>
  <c r="M41" i="5"/>
  <c r="M66" i="5" s="1"/>
  <c r="M60" i="4"/>
  <c r="M13" i="4"/>
  <c r="N13" i="4" s="1"/>
  <c r="N14" i="5"/>
  <c r="E13" i="4"/>
  <c r="I54" i="15"/>
  <c r="C79" i="12" s="1"/>
  <c r="I53" i="15"/>
  <c r="C72" i="12" s="1"/>
  <c r="C238" i="12"/>
  <c r="I56" i="15"/>
  <c r="C198" i="12" s="1"/>
  <c r="I52" i="15"/>
  <c r="C130" i="12" s="1"/>
  <c r="I4" i="15"/>
  <c r="C237" i="12" s="1"/>
  <c r="I55" i="15"/>
  <c r="C196" i="12" s="1"/>
  <c r="I3" i="15"/>
  <c r="C199" i="12" s="1"/>
  <c r="M10" i="4"/>
  <c r="N10" i="4" s="1"/>
  <c r="M14" i="5"/>
  <c r="E10" i="4"/>
  <c r="M34" i="4"/>
  <c r="E34" i="4"/>
  <c r="M28" i="5"/>
  <c r="C239" i="12"/>
  <c r="I101" i="15"/>
  <c r="C228" i="12" s="1"/>
  <c r="I97" i="15"/>
  <c r="C178" i="12" s="1"/>
  <c r="I93" i="15"/>
  <c r="C67" i="12" s="1"/>
  <c r="I100" i="15"/>
  <c r="C227" i="12" s="1"/>
  <c r="I96" i="15"/>
  <c r="C140" i="12" s="1"/>
  <c r="I92" i="15"/>
  <c r="C66" i="12" s="1"/>
  <c r="I99" i="15"/>
  <c r="C208" i="12" s="1"/>
  <c r="I95" i="15"/>
  <c r="C99" i="12" s="1"/>
  <c r="I91" i="15"/>
  <c r="C46" i="12" s="1"/>
  <c r="I102" i="15"/>
  <c r="C229" i="12" s="1"/>
  <c r="I98" i="15"/>
  <c r="C205" i="12" s="1"/>
  <c r="I94" i="15"/>
  <c r="C68" i="12" s="1"/>
  <c r="I90" i="15"/>
  <c r="C22" i="12" s="1"/>
  <c r="N35" i="5"/>
  <c r="N65" i="5" s="1"/>
  <c r="M50" i="4"/>
  <c r="N50" i="4" s="1"/>
  <c r="E50" i="4"/>
  <c r="I217" i="15"/>
  <c r="C161" i="12" s="1"/>
  <c r="I218" i="15"/>
  <c r="C183" i="12" s="1"/>
  <c r="C242" i="12"/>
  <c r="I216" i="15"/>
  <c r="C154" i="12" s="1"/>
  <c r="I215" i="15"/>
  <c r="C101" i="12" s="1"/>
  <c r="I214" i="15"/>
  <c r="C30" i="12" s="1"/>
  <c r="C240" i="12"/>
  <c r="I150" i="15"/>
  <c r="C179" i="12" s="1"/>
  <c r="I103" i="15"/>
  <c r="C182" i="12" s="1"/>
  <c r="I152" i="15"/>
  <c r="C234" i="12" s="1"/>
  <c r="I151" i="15"/>
  <c r="C207" i="12" s="1"/>
  <c r="C241" i="12"/>
  <c r="I198" i="15"/>
  <c r="C133" i="12" s="1"/>
  <c r="I194" i="15"/>
  <c r="C26" i="12" s="1"/>
  <c r="I197" i="15"/>
  <c r="C109" i="12" s="1"/>
  <c r="I196" i="15"/>
  <c r="C92" i="12" s="1"/>
  <c r="I195" i="15"/>
  <c r="C86" i="12" s="1"/>
  <c r="I199" i="15"/>
  <c r="C142" i="12" s="1"/>
  <c r="F47" i="4"/>
  <c r="O47" i="4"/>
  <c r="L47" i="4" s="1"/>
  <c r="D47" i="4"/>
  <c r="I36" i="11" l="1"/>
  <c r="J36" i="11" s="1"/>
  <c r="K36" i="11"/>
  <c r="L36" i="11" s="1"/>
  <c r="O7" i="12"/>
  <c r="P7" i="12" s="1"/>
  <c r="D10" i="12"/>
  <c r="I10" i="12" s="1"/>
  <c r="M63" i="4"/>
  <c r="N63" i="4" s="1"/>
  <c r="N34" i="4"/>
  <c r="N41" i="5"/>
  <c r="N66" i="5" s="1"/>
  <c r="O28" i="5"/>
  <c r="N40" i="4"/>
  <c r="E40" i="4"/>
  <c r="P35" i="5"/>
  <c r="P65" i="5" s="1"/>
  <c r="M56" i="4"/>
  <c r="N56" i="4" s="1"/>
  <c r="M37" i="4"/>
  <c r="N37" i="4" s="1"/>
  <c r="N28" i="5"/>
  <c r="L3" i="12"/>
  <c r="M3" i="12" s="1"/>
  <c r="O3" i="12"/>
  <c r="P3" i="12" s="1"/>
  <c r="L4" i="12"/>
  <c r="M4" i="12" s="1"/>
  <c r="O4" i="12"/>
  <c r="P4" i="12" s="1"/>
  <c r="L5" i="12"/>
  <c r="M5" i="12" s="1"/>
  <c r="O5" i="12"/>
  <c r="P5" i="12" s="1"/>
  <c r="H14" i="5"/>
  <c r="D4" i="12" s="1"/>
  <c r="H15" i="5"/>
  <c r="D5" i="12" s="1"/>
  <c r="L6" i="12"/>
  <c r="M6" i="12" s="1"/>
  <c r="O6" i="12"/>
  <c r="P6" i="12" s="1"/>
  <c r="O24" i="5"/>
  <c r="P43" i="5"/>
  <c r="A34" i="11"/>
  <c r="K34" i="11" s="1"/>
  <c r="M24" i="5"/>
  <c r="D22" i="4" s="1"/>
  <c r="H16" i="5"/>
  <c r="D6" i="12" s="1"/>
  <c r="D11" i="12"/>
  <c r="H28" i="5"/>
  <c r="H17" i="5"/>
  <c r="D7" i="12" s="1"/>
  <c r="H13" i="5"/>
  <c r="D3" i="12" s="1"/>
  <c r="I35" i="11"/>
  <c r="J35" i="11" s="1"/>
  <c r="L35" i="11"/>
  <c r="D12" i="12"/>
  <c r="H29" i="5"/>
  <c r="E47" i="4"/>
  <c r="M47" i="4"/>
  <c r="N47" i="4" s="1"/>
  <c r="M35" i="5"/>
  <c r="M65" i="5" s="1"/>
  <c r="E10" i="12"/>
  <c r="F10" i="12" s="1"/>
  <c r="I8" i="12"/>
  <c r="E8" i="12"/>
  <c r="F8" i="12" s="1"/>
  <c r="I7" i="12" l="1"/>
  <c r="E7" i="12"/>
  <c r="F7" i="12" s="1"/>
  <c r="O70" i="4"/>
  <c r="L70" i="4" s="1"/>
  <c r="D70" i="4"/>
  <c r="E3" i="12"/>
  <c r="F3" i="12" s="1"/>
  <c r="I3" i="12"/>
  <c r="E6" i="12"/>
  <c r="F6" i="12" s="1"/>
  <c r="I6" i="12"/>
  <c r="O27" i="4"/>
  <c r="L27" i="4" s="1"/>
  <c r="D27" i="4"/>
  <c r="F27" i="4"/>
  <c r="E5" i="12"/>
  <c r="F5" i="12" s="1"/>
  <c r="I5" i="12"/>
  <c r="I12" i="12"/>
  <c r="E12" i="12"/>
  <c r="F12" i="12" s="1"/>
  <c r="I11" i="12"/>
  <c r="E11" i="12"/>
  <c r="F11" i="12" s="1"/>
  <c r="O22" i="4"/>
  <c r="L22" i="4" s="1"/>
  <c r="F22" i="4"/>
  <c r="I4" i="12"/>
  <c r="E4" i="12"/>
  <c r="F4" i="12" s="1"/>
  <c r="I34" i="11"/>
  <c r="J34" i="11" s="1"/>
  <c r="J38" i="11" s="1"/>
  <c r="J39" i="11" s="1"/>
  <c r="S37" i="5" s="1"/>
  <c r="L34" i="11"/>
  <c r="L38" i="11" s="1"/>
  <c r="L39" i="11" s="1"/>
  <c r="S43" i="5" s="1"/>
  <c r="G10" i="12" l="1"/>
  <c r="I14" i="12"/>
  <c r="P30" i="5" s="1"/>
  <c r="O43" i="4" s="1"/>
  <c r="L43" i="4" s="1"/>
  <c r="G3" i="12"/>
  <c r="H8" i="12" s="1"/>
  <c r="O22" i="5"/>
  <c r="M27" i="4"/>
  <c r="N27" i="4" s="1"/>
  <c r="E27" i="4"/>
  <c r="M22" i="5"/>
  <c r="E22" i="4"/>
  <c r="M22" i="4"/>
  <c r="N22" i="4" s="1"/>
  <c r="O37" i="5"/>
  <c r="O43" i="5"/>
  <c r="E70" i="4"/>
  <c r="M70" i="4"/>
  <c r="N70" i="4" s="1"/>
  <c r="P41" i="5"/>
  <c r="P66" i="5" s="1"/>
  <c r="I50" i="5"/>
  <c r="J50" i="5" s="1"/>
  <c r="K50" i="5" s="1"/>
  <c r="H3" i="12" l="1"/>
  <c r="N3" i="12" s="1"/>
  <c r="H5" i="12"/>
  <c r="N5" i="12" s="1"/>
  <c r="I51" i="5"/>
  <c r="J51" i="5" s="1"/>
  <c r="K51" i="5" s="1"/>
  <c r="K64" i="5" s="1"/>
  <c r="H4" i="12"/>
  <c r="N4" i="12" s="1"/>
  <c r="I49" i="5"/>
  <c r="J49" i="5" s="1"/>
  <c r="K49" i="5" s="1"/>
  <c r="K10" i="5" s="1"/>
  <c r="H7" i="12"/>
  <c r="N7" i="12" s="1"/>
  <c r="H6" i="12"/>
  <c r="Q6" i="12" s="1"/>
  <c r="D43" i="4"/>
  <c r="F43" i="4"/>
  <c r="O67" i="4"/>
  <c r="L67" i="4" s="1"/>
  <c r="D67" i="4"/>
  <c r="D53" i="4"/>
  <c r="L60" i="4"/>
  <c r="N60" i="4" s="1"/>
  <c r="F53" i="4"/>
  <c r="O53" i="4"/>
  <c r="L53" i="4" s="1"/>
  <c r="K63" i="5"/>
  <c r="K19" i="5"/>
  <c r="Q5" i="12" l="1"/>
  <c r="Q3" i="12"/>
  <c r="Q8" i="12" s="1"/>
  <c r="Q4" i="12"/>
  <c r="K62" i="5"/>
  <c r="M62" i="5" s="1"/>
  <c r="K25" i="5"/>
  <c r="H10" i="12"/>
  <c r="Q7" i="12"/>
  <c r="I9" i="12"/>
  <c r="P16" i="5" s="1"/>
  <c r="D19" i="4" s="1"/>
  <c r="N6" i="12"/>
  <c r="N8" i="12"/>
  <c r="O16" i="5" s="1"/>
  <c r="P28" i="5"/>
  <c r="P64" i="5" s="1"/>
  <c r="E43" i="4"/>
  <c r="M43" i="4"/>
  <c r="N43" i="4" s="1"/>
  <c r="M53" i="4"/>
  <c r="N53" i="4" s="1"/>
  <c r="O35" i="5"/>
  <c r="O65" i="5" s="1"/>
  <c r="Q65" i="5" s="1"/>
  <c r="E53" i="4"/>
  <c r="E67" i="4"/>
  <c r="M67" i="4"/>
  <c r="N67" i="4" s="1"/>
  <c r="O41" i="5"/>
  <c r="O66" i="5" s="1"/>
  <c r="Q66" i="5" s="1"/>
  <c r="N63" i="5"/>
  <c r="P63" i="5"/>
  <c r="O63" i="5"/>
  <c r="M63" i="5"/>
  <c r="N64" i="5"/>
  <c r="O64" i="5"/>
  <c r="M64" i="5"/>
  <c r="N62" i="5" l="1"/>
  <c r="F16" i="4"/>
  <c r="D16" i="4"/>
  <c r="O14" i="5" s="1"/>
  <c r="O62" i="5" s="1"/>
  <c r="F19" i="4"/>
  <c r="O19" i="4"/>
  <c r="L19" i="4" s="1"/>
  <c r="O16" i="4"/>
  <c r="L16" i="4" s="1"/>
  <c r="Q64" i="5"/>
  <c r="Q63" i="5"/>
  <c r="N67" i="5"/>
  <c r="E19" i="4"/>
  <c r="P14" i="5"/>
  <c r="P62" i="5" s="1"/>
  <c r="M19" i="4"/>
  <c r="M67" i="5"/>
  <c r="N19" i="4" l="1"/>
  <c r="M16" i="4"/>
  <c r="N16" i="4" s="1"/>
  <c r="E16" i="4"/>
  <c r="Q62" i="5"/>
  <c r="Q67" i="5" s="1"/>
  <c r="O51" i="5" s="1"/>
  <c r="O29" i="5" s="1"/>
  <c r="J40" i="4" s="1"/>
  <c r="O67" i="5"/>
  <c r="P67" i="5"/>
  <c r="M13" i="6" l="1"/>
  <c r="E28" i="9" s="1"/>
  <c r="J41" i="4"/>
  <c r="P53" i="5"/>
  <c r="P42" i="5" s="1"/>
  <c r="J70" i="4" s="1"/>
  <c r="J71" i="4" s="1"/>
  <c r="P49" i="5"/>
  <c r="P15" i="5" s="1"/>
  <c r="N49" i="5"/>
  <c r="N15" i="5" s="1"/>
  <c r="O52" i="5"/>
  <c r="O36" i="5" s="1"/>
  <c r="J53" i="4" s="1"/>
  <c r="J54" i="4" s="1"/>
  <c r="P52" i="5"/>
  <c r="P36" i="5" s="1"/>
  <c r="J56" i="4" s="1"/>
  <c r="M51" i="5"/>
  <c r="M29" i="5" s="1"/>
  <c r="P51" i="5"/>
  <c r="P29" i="5" s="1"/>
  <c r="J43" i="4" s="1"/>
  <c r="N50" i="5"/>
  <c r="N23" i="5" s="1"/>
  <c r="J24" i="4" s="1"/>
  <c r="I11" i="6" s="1"/>
  <c r="E23" i="9" s="1"/>
  <c r="M52" i="5"/>
  <c r="M36" i="5" s="1"/>
  <c r="N52" i="5"/>
  <c r="N36" i="5" s="1"/>
  <c r="J50" i="4" s="1"/>
  <c r="O49" i="5"/>
  <c r="O15" i="5" s="1"/>
  <c r="I41" i="4"/>
  <c r="M53" i="5"/>
  <c r="M42" i="5" s="1"/>
  <c r="O50" i="5"/>
  <c r="O23" i="5" s="1"/>
  <c r="J27" i="4" s="1"/>
  <c r="I42" i="4"/>
  <c r="J42" i="4"/>
  <c r="M50" i="5"/>
  <c r="M23" i="5" s="1"/>
  <c r="P50" i="5"/>
  <c r="P23" i="5" s="1"/>
  <c r="J30" i="4" s="1"/>
  <c r="J31" i="4" s="1"/>
  <c r="I31" i="4" s="1"/>
  <c r="O53" i="5"/>
  <c r="O42" i="5" s="1"/>
  <c r="J67" i="4" s="1"/>
  <c r="N53" i="5"/>
  <c r="N42" i="5" s="1"/>
  <c r="J63" i="4" s="1"/>
  <c r="J64" i="4" s="1"/>
  <c r="N51" i="5"/>
  <c r="N29" i="5" s="1"/>
  <c r="J37" i="4" s="1"/>
  <c r="M49" i="5"/>
  <c r="M15" i="5" s="1"/>
  <c r="J68" i="4" l="1"/>
  <c r="I68" i="4" s="1"/>
  <c r="J58" i="4"/>
  <c r="J57" i="4"/>
  <c r="I57" i="4" s="1"/>
  <c r="J52" i="4"/>
  <c r="J51" i="4"/>
  <c r="I51" i="4" s="1"/>
  <c r="Q17" i="6"/>
  <c r="E37" i="9" s="1"/>
  <c r="I58" i="4"/>
  <c r="Q15" i="6"/>
  <c r="E33" i="9" s="1"/>
  <c r="I71" i="4"/>
  <c r="I72" i="4"/>
  <c r="J72" i="4"/>
  <c r="J45" i="4"/>
  <c r="J44" i="4"/>
  <c r="I44" i="4" s="1"/>
  <c r="J38" i="4"/>
  <c r="I38" i="4" s="1"/>
  <c r="M11" i="6"/>
  <c r="E24" i="9" s="1"/>
  <c r="J28" i="4"/>
  <c r="I28" i="4" s="1"/>
  <c r="I15" i="6"/>
  <c r="E31" i="9" s="1"/>
  <c r="I45" i="4"/>
  <c r="Q13" i="6"/>
  <c r="E29" i="9" s="1"/>
  <c r="I55" i="4"/>
  <c r="I54" i="4"/>
  <c r="M15" i="6"/>
  <c r="E32" i="9" s="1"/>
  <c r="J55" i="4"/>
  <c r="J26" i="4"/>
  <c r="I52" i="4"/>
  <c r="Q52" i="5"/>
  <c r="I32" i="4"/>
  <c r="H30" i="4" s="1"/>
  <c r="I30" i="4" s="1"/>
  <c r="O11" i="6" s="1"/>
  <c r="C25" i="9" s="1"/>
  <c r="J25" i="4"/>
  <c r="I25" i="4" s="1"/>
  <c r="I26" i="4"/>
  <c r="J32" i="4"/>
  <c r="I66" i="4"/>
  <c r="I69" i="4"/>
  <c r="I65" i="4"/>
  <c r="I17" i="6"/>
  <c r="E35" i="9" s="1"/>
  <c r="J29" i="4"/>
  <c r="J66" i="4"/>
  <c r="I29" i="4"/>
  <c r="H40" i="4"/>
  <c r="N13" i="6" s="1"/>
  <c r="J65" i="4"/>
  <c r="I64" i="4"/>
  <c r="I39" i="4"/>
  <c r="I13" i="6"/>
  <c r="E27" i="9" s="1"/>
  <c r="N54" i="5"/>
  <c r="Q51" i="5"/>
  <c r="J39" i="4"/>
  <c r="M54" i="5"/>
  <c r="Q49" i="5"/>
  <c r="J69" i="4"/>
  <c r="Q11" i="6"/>
  <c r="E25" i="9" s="1"/>
  <c r="Q50" i="5"/>
  <c r="P54" i="5"/>
  <c r="M17" i="6"/>
  <c r="E36" i="9" s="1"/>
  <c r="Q53" i="5"/>
  <c r="O54" i="5"/>
  <c r="L19" i="5"/>
  <c r="J22" i="4"/>
  <c r="J23" i="4" s="1"/>
  <c r="P9" i="5"/>
  <c r="J19" i="4"/>
  <c r="J20" i="4" s="1"/>
  <c r="J10" i="4"/>
  <c r="M9" i="5"/>
  <c r="L10" i="5"/>
  <c r="O9" i="5"/>
  <c r="J16" i="4"/>
  <c r="L25" i="5"/>
  <c r="J34" i="4"/>
  <c r="J35" i="4" s="1"/>
  <c r="L32" i="5"/>
  <c r="J47" i="4"/>
  <c r="J48" i="4" s="1"/>
  <c r="J13" i="4"/>
  <c r="J14" i="4" s="1"/>
  <c r="N9" i="5"/>
  <c r="L38" i="5"/>
  <c r="J60" i="4"/>
  <c r="J61" i="4" s="1"/>
  <c r="H56" i="4" l="1"/>
  <c r="I56" i="4" s="1"/>
  <c r="O15" i="6" s="1"/>
  <c r="C33" i="9" s="1"/>
  <c r="F33" i="9" s="1"/>
  <c r="G33" i="9" s="1"/>
  <c r="H70" i="4"/>
  <c r="R17" i="6" s="1"/>
  <c r="H50" i="4"/>
  <c r="J15" i="6" s="1"/>
  <c r="H24" i="4"/>
  <c r="J11" i="6" s="1"/>
  <c r="H43" i="4"/>
  <c r="I43" i="4" s="1"/>
  <c r="O13" i="6" s="1"/>
  <c r="C29" i="9" s="1"/>
  <c r="F29" i="9" s="1"/>
  <c r="G29" i="9" s="1"/>
  <c r="H53" i="4"/>
  <c r="N15" i="6" s="1"/>
  <c r="H67" i="4"/>
  <c r="I67" i="4" s="1"/>
  <c r="K17" i="6" s="1"/>
  <c r="C36" i="9" s="1"/>
  <c r="F36" i="9" s="1"/>
  <c r="G36" i="9" s="1"/>
  <c r="H63" i="4"/>
  <c r="J17" i="6" s="1"/>
  <c r="I40" i="4"/>
  <c r="K13" i="6" s="1"/>
  <c r="C28" i="9" s="1"/>
  <c r="F28" i="9" s="1"/>
  <c r="G28" i="9" s="1"/>
  <c r="H27" i="4"/>
  <c r="N11" i="6" s="1"/>
  <c r="F25" i="9"/>
  <c r="G25" i="9" s="1"/>
  <c r="H37" i="4"/>
  <c r="J13" i="6" s="1"/>
  <c r="R11" i="6"/>
  <c r="Q54" i="5"/>
  <c r="J21" i="4"/>
  <c r="E19" i="8" s="1"/>
  <c r="I23" i="4"/>
  <c r="E11" i="6"/>
  <c r="E22" i="9" s="1"/>
  <c r="E15" i="6"/>
  <c r="E30" i="9" s="1"/>
  <c r="J46" i="4"/>
  <c r="E21" i="8" s="1"/>
  <c r="J49" i="4"/>
  <c r="I49" i="4"/>
  <c r="I48" i="4"/>
  <c r="M9" i="6"/>
  <c r="J18" i="4"/>
  <c r="J17" i="4"/>
  <c r="I17" i="4" s="1"/>
  <c r="I18" i="4"/>
  <c r="I12" i="4"/>
  <c r="J11" i="4"/>
  <c r="I11" i="4" s="1"/>
  <c r="J9" i="4"/>
  <c r="E9" i="6"/>
  <c r="J12" i="4"/>
  <c r="J62" i="4"/>
  <c r="J59" i="4"/>
  <c r="E22" i="8" s="1"/>
  <c r="I61" i="4"/>
  <c r="I62" i="4"/>
  <c r="E17" i="6"/>
  <c r="E34" i="9" s="1"/>
  <c r="Q9" i="6"/>
  <c r="I20" i="4"/>
  <c r="J15" i="4"/>
  <c r="I15" i="4"/>
  <c r="I9" i="6"/>
  <c r="I14" i="4"/>
  <c r="I36" i="4"/>
  <c r="I35" i="4"/>
  <c r="J33" i="4"/>
  <c r="E20" i="8" s="1"/>
  <c r="J36" i="4"/>
  <c r="E13" i="6"/>
  <c r="E26" i="9" s="1"/>
  <c r="I70" i="4" l="1"/>
  <c r="O17" i="6" s="1"/>
  <c r="C37" i="9" s="1"/>
  <c r="F37" i="9" s="1"/>
  <c r="G37" i="9" s="1"/>
  <c r="R15" i="6"/>
  <c r="I53" i="4"/>
  <c r="K15" i="6" s="1"/>
  <c r="C32" i="9" s="1"/>
  <c r="F32" i="9" s="1"/>
  <c r="G32" i="9" s="1"/>
  <c r="I50" i="4"/>
  <c r="G15" i="6" s="1"/>
  <c r="C31" i="9" s="1"/>
  <c r="F31" i="9" s="1"/>
  <c r="G31" i="9" s="1"/>
  <c r="I24" i="4"/>
  <c r="G11" i="6" s="1"/>
  <c r="C23" i="9" s="1"/>
  <c r="F23" i="9" s="1"/>
  <c r="G23" i="9" s="1"/>
  <c r="R13" i="6"/>
  <c r="N17" i="6"/>
  <c r="I63" i="4"/>
  <c r="G17" i="6" s="1"/>
  <c r="C35" i="9" s="1"/>
  <c r="F35" i="9" s="1"/>
  <c r="G35" i="9" s="1"/>
  <c r="I37" i="4"/>
  <c r="G13" i="6" s="1"/>
  <c r="C27" i="9" s="1"/>
  <c r="F27" i="9" s="1"/>
  <c r="G27" i="9" s="1"/>
  <c r="H10" i="4"/>
  <c r="F9" i="6" s="1"/>
  <c r="I27" i="4"/>
  <c r="K11" i="6" s="1"/>
  <c r="C24" i="9" s="1"/>
  <c r="F24" i="9" s="1"/>
  <c r="G24" i="9" s="1"/>
  <c r="H19" i="4"/>
  <c r="R9" i="6" s="1"/>
  <c r="H16" i="4"/>
  <c r="N9" i="6" s="1"/>
  <c r="H47" i="4"/>
  <c r="F15" i="6" s="1"/>
  <c r="H22" i="4"/>
  <c r="F11" i="6" s="1"/>
  <c r="H34" i="4"/>
  <c r="F13" i="6" s="1"/>
  <c r="H13" i="4"/>
  <c r="J9" i="6" s="1"/>
  <c r="H60" i="4"/>
  <c r="I60" i="4" s="1"/>
  <c r="E20" i="7"/>
  <c r="E20" i="9"/>
  <c r="E18" i="9"/>
  <c r="E18" i="7"/>
  <c r="E19" i="9"/>
  <c r="E19" i="7"/>
  <c r="E21" i="7"/>
  <c r="E21" i="9"/>
  <c r="E18" i="8"/>
  <c r="J4" i="4"/>
  <c r="M4" i="6" s="1"/>
  <c r="I22" i="4" l="1"/>
  <c r="C11" i="6" s="1"/>
  <c r="C22" i="9" s="1"/>
  <c r="F22" i="9" s="1"/>
  <c r="G22" i="9" s="1"/>
  <c r="I19" i="4"/>
  <c r="O9" i="6" s="1"/>
  <c r="C21" i="9" s="1"/>
  <c r="F21" i="9" s="1"/>
  <c r="G21" i="9" s="1"/>
  <c r="I10" i="4"/>
  <c r="I13" i="4"/>
  <c r="G9" i="6" s="1"/>
  <c r="C19" i="9" s="1"/>
  <c r="F19" i="9" s="1"/>
  <c r="G19" i="9" s="1"/>
  <c r="I47" i="4"/>
  <c r="C15" i="6" s="1"/>
  <c r="C30" i="9" s="1"/>
  <c r="F30" i="9" s="1"/>
  <c r="G30" i="9" s="1"/>
  <c r="I16" i="4"/>
  <c r="K9" i="6" s="1"/>
  <c r="C20" i="9" s="1"/>
  <c r="F20" i="9" s="1"/>
  <c r="G20" i="9" s="1"/>
  <c r="I34" i="4"/>
  <c r="C13" i="6" s="1"/>
  <c r="C26" i="9" s="1"/>
  <c r="F26" i="9" s="1"/>
  <c r="G26" i="9" s="1"/>
  <c r="F17" i="6"/>
  <c r="J74" i="4"/>
  <c r="E38" i="9"/>
  <c r="E23" i="8"/>
  <c r="E22" i="7"/>
  <c r="C21" i="7"/>
  <c r="F21" i="7" s="1"/>
  <c r="G21" i="7" s="1"/>
  <c r="C17" i="6"/>
  <c r="C34" i="9" s="1"/>
  <c r="F34" i="9" s="1"/>
  <c r="G34" i="9" s="1"/>
  <c r="I59" i="4"/>
  <c r="I21" i="4" l="1"/>
  <c r="C9" i="6"/>
  <c r="C18" i="9" s="1"/>
  <c r="F18" i="9" s="1"/>
  <c r="G18" i="9" s="1"/>
  <c r="I9" i="4"/>
  <c r="I46" i="4"/>
  <c r="H46" i="4" s="1"/>
  <c r="C19" i="7"/>
  <c r="F19" i="7" s="1"/>
  <c r="G19" i="7" s="1"/>
  <c r="C20" i="7"/>
  <c r="F20" i="7" s="1"/>
  <c r="G20" i="7" s="1"/>
  <c r="I33" i="4"/>
  <c r="C20" i="8" s="1"/>
  <c r="F20" i="8" s="1"/>
  <c r="G20" i="8" s="1"/>
  <c r="C22" i="8"/>
  <c r="F22" i="8" s="1"/>
  <c r="G22" i="8" s="1"/>
  <c r="H59" i="4"/>
  <c r="C19" i="8"/>
  <c r="F19" i="8" s="1"/>
  <c r="G19" i="8" s="1"/>
  <c r="H21" i="4"/>
  <c r="C18" i="7" l="1"/>
  <c r="F18" i="7" s="1"/>
  <c r="G18" i="7" s="1"/>
  <c r="N9" i="4"/>
  <c r="H9" i="4" s="1"/>
  <c r="I4" i="4"/>
  <c r="H4" i="4" s="1"/>
  <c r="C18" i="8"/>
  <c r="F18" i="8" s="1"/>
  <c r="G18" i="8" s="1"/>
  <c r="C21" i="8"/>
  <c r="F21" i="8" s="1"/>
  <c r="G21" i="8" s="1"/>
  <c r="H33" i="4"/>
  <c r="K4" i="6" l="1"/>
  <c r="C22" i="7"/>
  <c r="F22" i="7" s="1"/>
  <c r="C23" i="8"/>
  <c r="F23" i="8" s="1"/>
  <c r="C38" i="9"/>
  <c r="F38" i="9" s="1"/>
  <c r="H74" i="4"/>
  <c r="I7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F10" authorId="0" shapeId="0" xr:uid="{00000000-0006-0000-0400-000001000000}">
      <text>
        <r>
          <rPr>
            <sz val="8"/>
            <color indexed="8"/>
            <rFont val="Segoe UI"/>
            <family val="2"/>
          </rPr>
          <t xml:space="preserve">please insert the total expenditures on the supply chain. This does not include taxes, royalties and finance costs. </t>
        </r>
      </text>
    </comment>
    <comment ref="M10" authorId="0" shapeId="0" xr:uid="{00000000-0006-0000-0400-000002000000}">
      <text>
        <r>
          <rPr>
            <sz val="8"/>
            <color indexed="8"/>
            <rFont val="Arial"/>
            <family val="2"/>
          </rPr>
          <t>the weighting of topics is dependent on the social risk of the industry of the supplier (see country rating). The social risk is currently deduced from societal controversies in the respective industry. In future a more elaborate approach is aimed</t>
        </r>
      </text>
    </comment>
    <comment ref="N10" authorId="0" shapeId="0" xr:uid="{00000000-0006-0000-0400-000003000000}">
      <text>
        <r>
          <rPr>
            <sz val="8"/>
            <color indexed="8"/>
            <rFont val="Segoe UI"/>
            <family val="2"/>
          </rPr>
          <t xml:space="preserve">currently no weighting, one idea: regional minimum wages / gini-coefficient?
</t>
        </r>
      </text>
    </comment>
    <comment ref="O10" authorId="0" shapeId="0" xr:uid="{00000000-0006-0000-0400-000004000000}">
      <text>
        <r>
          <rPr>
            <sz val="8"/>
            <color indexed="8"/>
            <rFont val="Segoe UI"/>
            <family val="2"/>
          </rPr>
          <t>the weighting of topics is dependent on the environmental risk of the industry of the supplier (see country rating). The risk is currently deduced from ecological impact of the industry. Based on environmental input-output data more precise data should be available soon</t>
        </r>
      </text>
    </comment>
    <comment ref="P10" authorId="0" shapeId="0" xr:uid="{00000000-0006-0000-0400-000005000000}">
      <text>
        <r>
          <rPr>
            <sz val="8"/>
            <color indexed="8"/>
            <rFont val="Segoe UI"/>
            <family val="2"/>
          </rPr>
          <t>The weighting of topics is dependent on the labour participation rights in the countries of origin of the most important purchased goods and services and is based on the ILUC-Index of the International Labour Union (ILO)</t>
        </r>
      </text>
    </comment>
    <comment ref="F12" authorId="0" shapeId="0" xr:uid="{00000000-0006-0000-0400-000006000000}">
      <text>
        <r>
          <rPr>
            <sz val="8"/>
            <color indexed="8"/>
            <rFont val="Segoe UI"/>
            <family val="2"/>
          </rPr>
          <t xml:space="preserve">Please in the five most important industries your companies purchased goods or services from. </t>
        </r>
      </text>
    </comment>
    <comment ref="G12" authorId="0" shapeId="0" xr:uid="{00000000-0006-0000-0400-000007000000}">
      <text>
        <r>
          <rPr>
            <sz val="8"/>
            <color indexed="8"/>
            <rFont val="Cambria"/>
            <family val="1"/>
          </rPr>
          <t xml:space="preserve">Please describe in the five most importantgoods or services your company purchased 
</t>
        </r>
      </text>
    </comment>
    <comment ref="H12" authorId="0" shapeId="0" xr:uid="{00000000-0006-0000-0400-000008000000}">
      <text>
        <r>
          <rPr>
            <sz val="8"/>
            <color indexed="8"/>
            <rFont val="Segoe UI"/>
            <family val="2"/>
          </rPr>
          <t>Please select the region where the five most important  purchased goods or services are produced. Select, as far as possible, the region where the most important step happens (e.g. extraction, production )</t>
        </r>
      </text>
    </comment>
    <comment ref="I12" authorId="0" shapeId="0" xr:uid="{00000000-0006-0000-0400-000009000000}">
      <text>
        <r>
          <rPr>
            <sz val="8"/>
            <color indexed="8"/>
            <rFont val="Segoe UI"/>
            <family val="2"/>
          </rPr>
          <t xml:space="preserve">Please insert the amounts spent for the five most important industries your companies purchased goods or services from. </t>
        </r>
      </text>
    </comment>
    <comment ref="F19" authorId="0" shapeId="0" xr:uid="{00000000-0006-0000-0400-00000A000000}">
      <text>
        <r>
          <rPr>
            <sz val="8"/>
            <color indexed="8"/>
            <rFont val="Segoe UI"/>
            <family val="2"/>
          </rPr>
          <t>please insert the profit after tax of the company</t>
        </r>
      </text>
    </comment>
    <comment ref="M19" authorId="0" shapeId="0" xr:uid="{00000000-0006-0000-0400-00000B000000}">
      <text>
        <r>
          <rPr>
            <sz val="8"/>
            <color indexed="8"/>
            <rFont val="Segoe UI"/>
            <family val="2"/>
          </rPr>
          <t>the weighting of this topics is dependent on the ratio of sales / total assets. The lower the ratio, the higher is the rating</t>
        </r>
      </text>
    </comment>
    <comment ref="N19" authorId="0" shapeId="0" xr:uid="{00000000-0006-0000-0400-00000C000000}">
      <text>
        <r>
          <rPr>
            <sz val="8"/>
            <color indexed="8"/>
            <rFont val="Segoe UI"/>
            <family val="2"/>
          </rPr>
          <t>the weighting of this topics is dependent on the amount of the ratio  (profit / turnover)</t>
        </r>
      </text>
    </comment>
    <comment ref="O19" authorId="0" shapeId="0" xr:uid="{00000000-0006-0000-0400-00000D000000}">
      <text>
        <r>
          <rPr>
            <sz val="8"/>
            <color indexed="8"/>
            <rFont val="Segoe UI"/>
            <family val="2"/>
          </rPr>
          <t>the weighting of this topics is dependent on the interest received for invested capital in relation to the turnover</t>
        </r>
      </text>
    </comment>
    <comment ref="P19" authorId="0" shapeId="0" xr:uid="{00000000-0006-0000-0400-00000E000000}">
      <text>
        <r>
          <rPr>
            <sz val="8"/>
            <color indexed="8"/>
            <rFont val="Segoe UI"/>
            <family val="2"/>
          </rPr>
          <t xml:space="preserve">the weighting of this topics is dependent on the size of the company </t>
        </r>
      </text>
    </comment>
    <comment ref="F21" authorId="0" shapeId="0" xr:uid="{00000000-0006-0000-0400-00000F000000}">
      <text>
        <r>
          <rPr>
            <sz val="8"/>
            <color indexed="8"/>
            <rFont val="Segoe UI"/>
            <family val="2"/>
          </rPr>
          <t>please insert the total amount of finance costs (expenses for interest, distributed profits to external persons, etc.).</t>
        </r>
      </text>
    </comment>
    <comment ref="G22" authorId="0" shapeId="0" xr:uid="{00000000-0006-0000-0400-000010000000}">
      <text>
        <r>
          <rPr>
            <b/>
            <sz val="8"/>
            <color indexed="8"/>
            <rFont val="Segoe UI"/>
            <family val="2"/>
          </rPr>
          <t xml:space="preserve">T410:
</t>
        </r>
        <r>
          <rPr>
            <sz val="8"/>
            <color indexed="8"/>
            <rFont val="Segoe UI"/>
            <family val="2"/>
          </rPr>
          <t>please insert the total finance income (e.g. interests received)</t>
        </r>
      </text>
    </comment>
    <comment ref="G23" authorId="0" shapeId="0" xr:uid="{00000000-0006-0000-0400-000011000000}">
      <text>
        <r>
          <rPr>
            <sz val="8"/>
            <color indexed="8"/>
            <rFont val="Segoe UI"/>
            <family val="2"/>
          </rPr>
          <t>please insert the total assets of the balance sheet</t>
        </r>
      </text>
    </comment>
    <comment ref="F24" authorId="0" shapeId="0" xr:uid="{00000000-0006-0000-0400-000012000000}">
      <text>
        <r>
          <rPr>
            <sz val="8"/>
            <color indexed="8"/>
            <rFont val="Segoe UI"/>
            <family val="2"/>
          </rPr>
          <t xml:space="preserve">
please insert the sum of financial instrument, (e.g. bonds, pensions funds) and deposit at banks or a rough estimate</t>
        </r>
      </text>
    </comment>
    <comment ref="H24" authorId="0" shapeId="0" xr:uid="{00000000-0006-0000-0400-000013000000}">
      <text>
        <r>
          <rPr>
            <sz val="8"/>
            <color indexed="8"/>
            <rFont val="Segoe UI"/>
            <family val="2"/>
          </rPr>
          <t xml:space="preserve">
please insert the sum of financial instrument, (e.g. bonds, pensions funds) and deposit at banks or a rough estimate</t>
        </r>
      </text>
    </comment>
    <comment ref="F25" authorId="0" shapeId="0" xr:uid="{00000000-0006-0000-0400-000014000000}">
      <text>
        <r>
          <rPr>
            <sz val="8"/>
            <color indexed="8"/>
            <rFont val="Segoe UI"/>
            <family val="2"/>
          </rPr>
          <t>please insert the total expenditures on employees (wages and salaries without social expenditures)</t>
        </r>
      </text>
    </comment>
    <comment ref="O25" authorId="0" shapeId="0" xr:uid="{00000000-0006-0000-0400-000015000000}">
      <text>
        <r>
          <rPr>
            <sz val="8"/>
            <color indexed="8"/>
            <rFont val="Segoe UI"/>
            <family val="2"/>
          </rPr>
          <t>the weighting of topic is dependent on the existence of a cantine for the majority of the employees and employee commuting (distance from the work place).  Studies of certain comanies have indicated, that can have rather high impacts in case of a company cantine and  when employees need to travel far everyday.</t>
        </r>
      </text>
    </comment>
    <comment ref="P25" authorId="0" shapeId="0" xr:uid="{00000000-0006-0000-0400-000016000000}">
      <text>
        <r>
          <rPr>
            <sz val="8"/>
            <color indexed="8"/>
            <rFont val="Segoe UI"/>
            <family val="2"/>
          </rPr>
          <t xml:space="preserve">the weighting of this topics is dependent on the size of the company </t>
        </r>
      </text>
    </comment>
    <comment ref="F26" authorId="0" shapeId="0" xr:uid="{00000000-0006-0000-0400-000017000000}">
      <text>
        <r>
          <rPr>
            <sz val="8"/>
            <color indexed="8"/>
            <rFont val="Segoe UI"/>
            <family val="2"/>
          </rPr>
          <t>please insert the total number of employees by full-time-equivalents</t>
        </r>
      </text>
    </comment>
    <comment ref="G27" authorId="0" shapeId="0" xr:uid="{00000000-0006-0000-0400-000018000000}">
      <text>
        <r>
          <rPr>
            <sz val="8"/>
            <color indexed="8"/>
            <rFont val="Segoe UI"/>
            <family val="2"/>
          </rPr>
          <t>please name the country with the most employees and their precentage of all employees</t>
        </r>
      </text>
    </comment>
    <comment ref="G28" authorId="0" shapeId="0" xr:uid="{00000000-0006-0000-0400-000019000000}">
      <text>
        <r>
          <rPr>
            <sz val="8"/>
            <color indexed="8"/>
            <rFont val="Segoe UI"/>
            <family val="2"/>
          </rPr>
          <t>please name the country with the 2nd most employees and their precentage of all employees</t>
        </r>
      </text>
    </comment>
    <comment ref="G29" authorId="0" shapeId="0" xr:uid="{00000000-0006-0000-0400-00001A000000}">
      <text>
        <r>
          <rPr>
            <sz val="8"/>
            <color indexed="8"/>
            <rFont val="Segoe UI"/>
            <family val="2"/>
          </rPr>
          <t>please name the country with the 3rd most employees and their precentage of all employees</t>
        </r>
      </text>
    </comment>
    <comment ref="F30" authorId="0" shapeId="0" xr:uid="{00000000-0006-0000-0400-00001B000000}">
      <text>
        <r>
          <rPr>
            <sz val="8"/>
            <color indexed="8"/>
            <rFont val="Segoe UI"/>
            <family val="2"/>
          </rPr>
          <t>please insert the (estimated) average distance of the employees from the company in km</t>
        </r>
      </text>
    </comment>
    <comment ref="F31" authorId="0" shapeId="0" xr:uid="{00000000-0006-0000-0400-00001C000000}">
      <text>
        <r>
          <rPr>
            <sz val="8"/>
            <color indexed="8"/>
            <rFont val="Segoe UI"/>
            <family val="2"/>
          </rPr>
          <t>Does a company cantine exist, which more than 50% of the employee use?</t>
        </r>
      </text>
    </comment>
    <comment ref="F32" authorId="0" shapeId="0" xr:uid="{00000000-0006-0000-0400-00001D000000}">
      <text>
        <r>
          <rPr>
            <sz val="8"/>
            <color indexed="8"/>
            <rFont val="Segoe UI"/>
            <family val="2"/>
          </rPr>
          <t>please insert the total sales (source:  income statement)</t>
        </r>
      </text>
    </comment>
    <comment ref="O32" authorId="0" shapeId="0" xr:uid="{00000000-0006-0000-0400-00001E000000}">
      <text>
        <r>
          <rPr>
            <sz val="8"/>
            <color indexed="8"/>
            <rFont val="Segoe UI"/>
            <family val="2"/>
          </rPr>
          <t>the weighting of topic is dependent on the envrionmental risk of the industry. The risk is currently deduced from interviews with experts and media research. Based on environmental input-output data more precise data should be available soon</t>
        </r>
      </text>
    </comment>
    <comment ref="P32" authorId="0" shapeId="0" xr:uid="{00000000-0006-0000-0400-00001F000000}">
      <text>
        <r>
          <rPr>
            <b/>
            <sz val="8"/>
            <color indexed="8"/>
            <rFont val="Segoe UI"/>
            <family val="2"/>
          </rPr>
          <t>The Weighting is low if the company has almost entirely B2B-business</t>
        </r>
      </text>
    </comment>
    <comment ref="F34" authorId="0" shapeId="0" xr:uid="{00000000-0006-0000-0400-000020000000}">
      <text>
        <r>
          <rPr>
            <sz val="8"/>
            <color indexed="8"/>
            <rFont val="Segoe UI"/>
            <family val="2"/>
          </rPr>
          <t>Please in the three most important industries your companies purchased goods or services from.  If you provide only one product, you can distinguish into customers segments, in case you provide many different products and services try to group them as far as possible</t>
        </r>
      </text>
    </comment>
    <comment ref="G34" authorId="0" shapeId="0" xr:uid="{00000000-0006-0000-0400-000021000000}">
      <text>
        <r>
          <rPr>
            <sz val="8"/>
            <color indexed="8"/>
            <rFont val="Segoe UI"/>
            <family val="2"/>
          </rPr>
          <t>please insert a short description of the service and product</t>
        </r>
      </text>
    </comment>
    <comment ref="N38" authorId="0" shapeId="0" xr:uid="{00000000-0006-0000-0400-000022000000}">
      <text>
        <r>
          <rPr>
            <sz val="8"/>
            <color indexed="8"/>
            <rFont val="Segoe UI"/>
            <family val="2"/>
          </rPr>
          <t>the weighting of this topics is dependent on the amount of the ratio  (profit / turnover)</t>
        </r>
      </text>
    </comment>
    <comment ref="O38" authorId="0" shapeId="0" xr:uid="{00000000-0006-0000-0400-000023000000}">
      <text>
        <r>
          <rPr>
            <sz val="8"/>
            <color indexed="8"/>
            <rFont val="Segoe UI"/>
            <family val="2"/>
          </rPr>
          <t>the weighting of topic is dependent on the envrionmental risk of the industry. The risk is currently deduced from expert interview and media research. Based on environmental input-output data more precise data should be available soon</t>
        </r>
      </text>
    </comment>
    <comment ref="P38" authorId="0" shapeId="0" xr:uid="{00000000-0006-0000-0400-000024000000}">
      <text>
        <r>
          <rPr>
            <sz val="8"/>
            <color indexed="8"/>
            <rFont val="Segoe UI"/>
            <family val="2"/>
          </rPr>
          <t xml:space="preserve"> the weighting of this topics is dependent on the size of the company and for some industries with high impact an adjacent communities the weighting is high</t>
        </r>
      </text>
    </comment>
  </commentList>
</comments>
</file>

<file path=xl/sharedStrings.xml><?xml version="1.0" encoding="utf-8"?>
<sst xmlns="http://schemas.openxmlformats.org/spreadsheetml/2006/main" count="4922" uniqueCount="3201">
  <si>
    <t>5.02</t>
  </si>
  <si>
    <t>a)</t>
  </si>
  <si>
    <t>b)</t>
  </si>
  <si>
    <t>c)</t>
  </si>
  <si>
    <t>d)</t>
  </si>
  <si>
    <t>e)</t>
  </si>
  <si>
    <t>Ja</t>
  </si>
  <si>
    <t>Nein</t>
  </si>
  <si>
    <t>P - Bildung</t>
  </si>
  <si>
    <t>ausblenden</t>
  </si>
  <si>
    <t>ausblenben</t>
  </si>
  <si>
    <t>Gewichtung Standard</t>
  </si>
  <si>
    <t>Reset</t>
  </si>
  <si>
    <t>A</t>
  </si>
  <si>
    <t>A1</t>
  </si>
  <si>
    <t>A1.1</t>
  </si>
  <si>
    <t>A1.2</t>
  </si>
  <si>
    <t>A2</t>
  </si>
  <si>
    <t>A2.1</t>
  </si>
  <si>
    <t>A2.2</t>
  </si>
  <si>
    <t>A2.3</t>
  </si>
  <si>
    <t>A3</t>
  </si>
  <si>
    <t>A3.1</t>
  </si>
  <si>
    <t>A3.2</t>
  </si>
  <si>
    <t>A4</t>
  </si>
  <si>
    <t>A4.1</t>
  </si>
  <si>
    <t>A4.2</t>
  </si>
  <si>
    <t>B</t>
  </si>
  <si>
    <t>B1</t>
  </si>
  <si>
    <t>B1.1</t>
  </si>
  <si>
    <t>B1.2</t>
  </si>
  <si>
    <t>B1.3</t>
  </si>
  <si>
    <t>B2</t>
  </si>
  <si>
    <t>B2.1</t>
  </si>
  <si>
    <t>B2.2</t>
  </si>
  <si>
    <t>B3</t>
  </si>
  <si>
    <t>B3.1</t>
  </si>
  <si>
    <t>B3.2</t>
  </si>
  <si>
    <t>B3.3</t>
  </si>
  <si>
    <t>B4</t>
  </si>
  <si>
    <t>B4.1</t>
  </si>
  <si>
    <t>B4.2</t>
  </si>
  <si>
    <t>C</t>
  </si>
  <si>
    <t>C1</t>
  </si>
  <si>
    <t>C1.1</t>
  </si>
  <si>
    <t>C1.2</t>
  </si>
  <si>
    <t>C1.3</t>
  </si>
  <si>
    <t>C1.4</t>
  </si>
  <si>
    <t>C2</t>
  </si>
  <si>
    <t>C2.1</t>
  </si>
  <si>
    <t>C2.2</t>
  </si>
  <si>
    <t>C2.3</t>
  </si>
  <si>
    <t>C2.4</t>
  </si>
  <si>
    <t>C3</t>
  </si>
  <si>
    <t>C3.1</t>
  </si>
  <si>
    <t>C3.2</t>
  </si>
  <si>
    <t>C3.3</t>
  </si>
  <si>
    <t>C3.4</t>
  </si>
  <si>
    <t>C4</t>
  </si>
  <si>
    <t>C4.1</t>
  </si>
  <si>
    <t>C4.2</t>
  </si>
  <si>
    <t>C4.3</t>
  </si>
  <si>
    <t>C4.4</t>
  </si>
  <si>
    <t>D</t>
  </si>
  <si>
    <t>D1</t>
  </si>
  <si>
    <t>D1.1</t>
  </si>
  <si>
    <t>D1.2</t>
  </si>
  <si>
    <t>D1.3</t>
  </si>
  <si>
    <t>D2</t>
  </si>
  <si>
    <t>D2.1</t>
  </si>
  <si>
    <t>D2.2</t>
  </si>
  <si>
    <t>D2.3</t>
  </si>
  <si>
    <t>D3</t>
  </si>
  <si>
    <t>D3.1</t>
  </si>
  <si>
    <t>D3.2</t>
  </si>
  <si>
    <t>D3.3</t>
  </si>
  <si>
    <t>D4</t>
  </si>
  <si>
    <t>D4.1</t>
  </si>
  <si>
    <t>D4.2</t>
  </si>
  <si>
    <t>E</t>
  </si>
  <si>
    <t>E1</t>
  </si>
  <si>
    <t>E1.1</t>
  </si>
  <si>
    <t>E1.2</t>
  </si>
  <si>
    <t>E1.3</t>
  </si>
  <si>
    <t>E2</t>
  </si>
  <si>
    <t>E2.1</t>
  </si>
  <si>
    <t>E2.2</t>
  </si>
  <si>
    <t>E2.3</t>
  </si>
  <si>
    <t>E2.4</t>
  </si>
  <si>
    <t>E3</t>
  </si>
  <si>
    <t>E3.1</t>
  </si>
  <si>
    <t>E3.2</t>
  </si>
  <si>
    <t>E3.3</t>
  </si>
  <si>
    <t>E4</t>
  </si>
  <si>
    <t>E4.1</t>
  </si>
  <si>
    <t>E4.2</t>
  </si>
  <si>
    <t>E4.3</t>
  </si>
  <si>
    <t>MATRIX 5.0</t>
  </si>
  <si>
    <t>VALUES WERTE</t>
  </si>
  <si>
    <t xml:space="preserve">1) HUMAN DIGNITY </t>
  </si>
  <si>
    <t>2) SOLIDARITY &amp;  JUSTICE</t>
  </si>
  <si>
    <t>3) ECOLOGICAL SUSTAINABILITY</t>
  </si>
  <si>
    <t>4) DEMOCRATIC CO-DETERMINATION AND TRANSPARENCY</t>
  </si>
  <si>
    <t>Total Sales (in Mio Euro)</t>
  </si>
  <si>
    <t>Total Assets (in Mio Euro)</t>
  </si>
  <si>
    <t>fields necessary to fill out</t>
  </si>
  <si>
    <t>these field contains a comment on the necesarry information for cells to be filled out or on the weighting in general</t>
  </si>
  <si>
    <t>STAKEHOLDER                                                    BERÜHRUNGSGGRUPPE</t>
  </si>
  <si>
    <t>Gesamt-Ausgaben an Lieferanten / total expenditures on the supply chain</t>
  </si>
  <si>
    <t>A: SUPPLIERS</t>
  </si>
  <si>
    <t>NACE</t>
  </si>
  <si>
    <t>Industry</t>
  </si>
  <si>
    <t>Product / Services Description</t>
  </si>
  <si>
    <t>Region</t>
  </si>
  <si>
    <t>Expenditures</t>
  </si>
  <si>
    <t>Rest</t>
  </si>
  <si>
    <t xml:space="preserve">profit </t>
  </si>
  <si>
    <t>B: INVESTORS</t>
  </si>
  <si>
    <t xml:space="preserve">profit in % of total Sales </t>
  </si>
  <si>
    <t>profit</t>
  </si>
  <si>
    <t>EQ-Quote</t>
  </si>
  <si>
    <t>costs of finance</t>
  </si>
  <si>
    <t>&lt;-- (zugänge anlageverm.+financial assets)/total assets</t>
  </si>
  <si>
    <t>finance income</t>
  </si>
  <si>
    <t>&lt;-- ratio: sales/assets</t>
  </si>
  <si>
    <t>total assets</t>
  </si>
  <si>
    <t>"zugänge zum anlagevermögen"</t>
  </si>
  <si>
    <t>"invested money"</t>
  </si>
  <si>
    <t>employee expenditures</t>
  </si>
  <si>
    <t>C: EMPLOYEES</t>
  </si>
  <si>
    <t xml:space="preserve">number of FTE </t>
  </si>
  <si>
    <t>Does an Cantine for the majority of employees exist?</t>
  </si>
  <si>
    <t>companay szie</t>
  </si>
  <si>
    <t xml:space="preserve">% employees  in </t>
  </si>
  <si>
    <t xml:space="preserve">% employees in </t>
  </si>
  <si>
    <t>potential commuting impact</t>
  </si>
  <si>
    <t>existence of a company canteen</t>
  </si>
  <si>
    <t>total sales</t>
  </si>
  <si>
    <t>D: CUSTOMERS</t>
  </si>
  <si>
    <t>B2B / B2C</t>
  </si>
  <si>
    <t>industry</t>
  </si>
  <si>
    <t>% of total sales</t>
  </si>
  <si>
    <t>E: SOCIETY</t>
  </si>
  <si>
    <t>Company Size (EU definition)</t>
  </si>
  <si>
    <t>1) HUMAN DIGNITY</t>
  </si>
  <si>
    <t>2) COOPERATION AND SOLIDARITY</t>
  </si>
  <si>
    <t>5) DEMOCRATIC CO-DETERMINATION AND TRANSPARENCY</t>
  </si>
  <si>
    <t>Weighting Points</t>
  </si>
  <si>
    <t>trifft nicht zu</t>
  </si>
  <si>
    <t>niedrig</t>
  </si>
  <si>
    <t>mittel</t>
  </si>
  <si>
    <t>hoch</t>
  </si>
  <si>
    <t>sehr hoch</t>
  </si>
  <si>
    <t>DIFFERENCE TO MATRIX 4.0 WEIGHTING</t>
  </si>
  <si>
    <t>-</t>
  </si>
  <si>
    <t>INDUSTRY WEIGHTING - COMMON GOOD MATRIX</t>
  </si>
  <si>
    <r>
      <rPr>
        <b/>
        <sz val="8"/>
        <color indexed="9"/>
        <rFont val="Arial"/>
        <family val="2"/>
      </rPr>
      <t>INDUSTRY</t>
    </r>
    <r>
      <rPr>
        <sz val="8"/>
        <color indexed="9"/>
        <rFont val="Arial"/>
        <family val="2"/>
      </rPr>
      <t xml:space="preserve"> </t>
    </r>
  </si>
  <si>
    <t>A1 -social risks in the Supply Chain</t>
  </si>
  <si>
    <t>A3 -ecological sustainability in the Supply Chain</t>
  </si>
  <si>
    <t>D3 - Ecological Design of products and services</t>
  </si>
  <si>
    <t>E3 -  Reduction of Environmental Impact</t>
  </si>
  <si>
    <t>E4 - Social transparency and co-
determination</t>
  </si>
  <si>
    <t>A3 - Ecologicla Supply Chain Risk</t>
  </si>
  <si>
    <t>(based UN International Standard Industrial Classification of All Economic Activities, Rev.4 -http://unstats.un.org/unsd/cr/registry/regcst.asp?Cl=27)</t>
  </si>
  <si>
    <t>weighting</t>
  </si>
  <si>
    <t>argumentation: based on the social risks in the industry</t>
  </si>
  <si>
    <r>
      <rPr>
        <b/>
        <sz val="7"/>
        <color indexed="8"/>
        <rFont val="Arial"/>
        <family val="2"/>
      </rPr>
      <t xml:space="preserve">argumentation: </t>
    </r>
    <r>
      <rPr>
        <sz val="7"/>
        <color indexed="8"/>
        <rFont val="Arial"/>
        <family val="2"/>
      </rPr>
      <t>based on ecological impact on the planterary boundaries in the supply cahin (studies and the use of quantitative models - e.g. ecological footprint - will be applied herefor)</t>
    </r>
  </si>
  <si>
    <r>
      <rPr>
        <b/>
        <sz val="7"/>
        <color indexed="8"/>
        <rFont val="Arial"/>
        <family val="2"/>
      </rPr>
      <t xml:space="preserve">argumentation: </t>
    </r>
    <r>
      <rPr>
        <sz val="7"/>
        <color indexed="8"/>
        <rFont val="Arial"/>
        <family val="2"/>
      </rPr>
      <t>based on the products / service impact on the planterary boundaries in the use phase (studies and the use of quantitative models - e.g. ecological footprint - will be applied herefor)</t>
    </r>
  </si>
  <si>
    <t>argumentation: based on the sectors direct impact in the production phase on the planterary boundaries (studies and the use of quantitative models will be applied herefor); e.g. sehr hoch: The sector has a major impact of various planetary boundaries</t>
  </si>
  <si>
    <r>
      <rPr>
        <b/>
        <sz val="7"/>
        <color indexed="8"/>
        <rFont val="Arial"/>
        <family val="2"/>
      </rPr>
      <t xml:space="preserve">argumentation: </t>
    </r>
    <r>
      <rPr>
        <sz val="7"/>
        <color indexed="8"/>
        <rFont val="Arial"/>
        <family val="2"/>
      </rPr>
      <t xml:space="preserve">the weighting is depending on the impact the industry has particularly on the adjacent environment
</t>
    </r>
  </si>
  <si>
    <t>argumentation: based on the sectors direct impact in the production phase on the planterary boundaries (studies and the use of quantitative models will be applied herefor)
sehr hoch: The sector has a major impact of various planetary boundaries</t>
  </si>
  <si>
    <t xml:space="preserve">A </t>
  </si>
  <si>
    <t>ist E3?</t>
  </si>
  <si>
    <t>the main impacts are in the production phase</t>
  </si>
  <si>
    <t xml:space="preserve">major direct impact on various planetary boundaries in the production (climate change, N/P-cycle, biodiversity, land-use-change) </t>
  </si>
  <si>
    <t xml:space="preserve">B </t>
  </si>
  <si>
    <t>major impact on eco-systems</t>
  </si>
  <si>
    <t xml:space="preserve">C </t>
  </si>
  <si>
    <t xml:space="preserve">Please note: This industry is very heterogen. </t>
  </si>
  <si>
    <t>Ca</t>
  </si>
  <si>
    <t>Cb</t>
  </si>
  <si>
    <t>Cc</t>
  </si>
  <si>
    <t>Cd</t>
  </si>
  <si>
    <t>Ce</t>
  </si>
  <si>
    <t>residues for some pharmaproducts critical</t>
  </si>
  <si>
    <t>Cf</t>
  </si>
  <si>
    <t>Cg</t>
  </si>
  <si>
    <t>Ch</t>
  </si>
  <si>
    <t xml:space="preserve">D </t>
  </si>
  <si>
    <t>major impact on climate change</t>
  </si>
  <si>
    <t xml:space="preserve">E </t>
  </si>
  <si>
    <t xml:space="preserve">F </t>
  </si>
  <si>
    <t>major impact on climate change (see d3) and impacting land-use-change</t>
  </si>
  <si>
    <t xml:space="preserve">G </t>
  </si>
  <si>
    <t xml:space="preserve">H </t>
  </si>
  <si>
    <t xml:space="preserve">I </t>
  </si>
  <si>
    <t xml:space="preserve">J </t>
  </si>
  <si>
    <t xml:space="preserve">K </t>
  </si>
  <si>
    <t xml:space="preserve">L </t>
  </si>
  <si>
    <t xml:space="preserve">M </t>
  </si>
  <si>
    <t xml:space="preserve">N </t>
  </si>
  <si>
    <t xml:space="preserve">O </t>
  </si>
  <si>
    <t xml:space="preserve">P </t>
  </si>
  <si>
    <t xml:space="preserve">Q </t>
  </si>
  <si>
    <t xml:space="preserve">R </t>
  </si>
  <si>
    <t xml:space="preserve">S </t>
  </si>
  <si>
    <t>T</t>
  </si>
  <si>
    <t xml:space="preserve">U </t>
  </si>
  <si>
    <t>Branche 1</t>
  </si>
  <si>
    <t>Branche 2</t>
  </si>
  <si>
    <t>Branche 3</t>
  </si>
  <si>
    <t>ÖKOLOGISCHE BRANCHENGEWICHTUNGEN</t>
  </si>
  <si>
    <t>SUPPLIERS AND EMPLOYEE WEIGHTING RATIO</t>
  </si>
  <si>
    <t>added value of suppliers (source: income statement)</t>
  </si>
  <si>
    <r>
      <rPr>
        <sz val="8"/>
        <color indexed="9"/>
        <rFont val="Arial"/>
        <family val="2"/>
      </rPr>
      <t xml:space="preserve">Splitted added value </t>
    </r>
    <r>
      <rPr>
        <sz val="8"/>
        <color indexed="60"/>
        <rFont val="Arial"/>
        <family val="2"/>
      </rPr>
      <t>(source¿?)</t>
    </r>
  </si>
  <si>
    <t>Country</t>
  </si>
  <si>
    <r>
      <rPr>
        <sz val="8"/>
        <color indexed="9"/>
        <rFont val="Arial"/>
        <family val="2"/>
      </rPr>
      <t xml:space="preserve">PPP index </t>
    </r>
    <r>
      <rPr>
        <sz val="8"/>
        <color indexed="60"/>
        <rFont val="Arial"/>
        <family val="2"/>
      </rPr>
      <t>(source¿?)</t>
    </r>
  </si>
  <si>
    <t>Added value adjusted</t>
  </si>
  <si>
    <t>Total</t>
  </si>
  <si>
    <t>%</t>
  </si>
  <si>
    <t>ITUC (average)</t>
  </si>
  <si>
    <t>nace</t>
  </si>
  <si>
    <t>ecol. Impact (A3)</t>
  </si>
  <si>
    <t>social impact (A1)</t>
  </si>
  <si>
    <t>Supplier 1</t>
  </si>
  <si>
    <t>Supplier 2</t>
  </si>
  <si>
    <t>Supplier 3</t>
  </si>
  <si>
    <t>Supplier 4</t>
  </si>
  <si>
    <t>Supplier 5</t>
  </si>
  <si>
    <t>Rest of suppliers</t>
  </si>
  <si>
    <t>Supply Chain Gewichtung</t>
  </si>
  <si>
    <t>Workers</t>
  </si>
  <si>
    <t xml:space="preserve">Please note that the boxes with a red frame have to be filled out. </t>
  </si>
  <si>
    <t>Purchasing Power Parity Tables</t>
  </si>
  <si>
    <t>Data Source</t>
  </si>
  <si>
    <t>Worldbank Data</t>
  </si>
  <si>
    <t>Last Updated Date</t>
  </si>
  <si>
    <t>2_2018</t>
  </si>
  <si>
    <t>http://data.worldbank.org/indicator/NY.GDP.MKTP.PP.CD</t>
  </si>
  <si>
    <t xml:space="preserve"> </t>
  </si>
  <si>
    <t>Country Code</t>
  </si>
  <si>
    <t>Country Name</t>
  </si>
  <si>
    <t>code</t>
  </si>
  <si>
    <t>Aruba</t>
  </si>
  <si>
    <t>est</t>
  </si>
  <si>
    <t>Americas</t>
  </si>
  <si>
    <t>ABW</t>
  </si>
  <si>
    <t>Afghanistan</t>
  </si>
  <si>
    <t>Asia</t>
  </si>
  <si>
    <t>AFG</t>
  </si>
  <si>
    <t>Angola</t>
  </si>
  <si>
    <t>Africa</t>
  </si>
  <si>
    <t>AGO</t>
  </si>
  <si>
    <t>Albania</t>
  </si>
  <si>
    <t>Europe</t>
  </si>
  <si>
    <t>ALB</t>
  </si>
  <si>
    <t>Andorra</t>
  </si>
  <si>
    <t>AND</t>
  </si>
  <si>
    <t>United Arab Emirates</t>
  </si>
  <si>
    <t>ARE</t>
  </si>
  <si>
    <t>Argentina</t>
  </si>
  <si>
    <t>ARG</t>
  </si>
  <si>
    <t>Armenia</t>
  </si>
  <si>
    <t>ARM</t>
  </si>
  <si>
    <t>American Samoa</t>
  </si>
  <si>
    <t>Oceania</t>
  </si>
  <si>
    <t>ASM</t>
  </si>
  <si>
    <t>Antigua and Barbuda</t>
  </si>
  <si>
    <t>ATG</t>
  </si>
  <si>
    <t>Australia</t>
  </si>
  <si>
    <t>AUS</t>
  </si>
  <si>
    <t>Austria</t>
  </si>
  <si>
    <t>AUT</t>
  </si>
  <si>
    <t>Azerbaijan</t>
  </si>
  <si>
    <t>AZE</t>
  </si>
  <si>
    <t>Burundi</t>
  </si>
  <si>
    <t>BDI</t>
  </si>
  <si>
    <t>Belgium</t>
  </si>
  <si>
    <t>BEL</t>
  </si>
  <si>
    <t>Benin</t>
  </si>
  <si>
    <t>BEN</t>
  </si>
  <si>
    <t>Burkina Faso</t>
  </si>
  <si>
    <t>BFA</t>
  </si>
  <si>
    <t>Bangladesh</t>
  </si>
  <si>
    <t>BGD</t>
  </si>
  <si>
    <t>Bulgaria</t>
  </si>
  <si>
    <t>BGR</t>
  </si>
  <si>
    <t>Bahrain</t>
  </si>
  <si>
    <t>BHR</t>
  </si>
  <si>
    <t>Bahamas, The</t>
  </si>
  <si>
    <t>BHS</t>
  </si>
  <si>
    <t>Bosnia and Herzegovina</t>
  </si>
  <si>
    <t>BIH</t>
  </si>
  <si>
    <t>Belarus</t>
  </si>
  <si>
    <t>BLR</t>
  </si>
  <si>
    <t>Belize</t>
  </si>
  <si>
    <t>BLZ</t>
  </si>
  <si>
    <t>Bermuda</t>
  </si>
  <si>
    <t>BMU</t>
  </si>
  <si>
    <t>Bolivia</t>
  </si>
  <si>
    <t>BOL</t>
  </si>
  <si>
    <t>Brazil</t>
  </si>
  <si>
    <t>BRA</t>
  </si>
  <si>
    <t>Barbados</t>
  </si>
  <si>
    <t>BRB</t>
  </si>
  <si>
    <t>Brunei Darussalam</t>
  </si>
  <si>
    <t>BRN</t>
  </si>
  <si>
    <t>Bhutan</t>
  </si>
  <si>
    <t>BTN</t>
  </si>
  <si>
    <t>Botswana</t>
  </si>
  <si>
    <t>BWA</t>
  </si>
  <si>
    <t>Central African Republic</t>
  </si>
  <si>
    <t>CAF</t>
  </si>
  <si>
    <t>Canada</t>
  </si>
  <si>
    <t>CAN</t>
  </si>
  <si>
    <t>Switzerland</t>
  </si>
  <si>
    <t>CHE</t>
  </si>
  <si>
    <t>Chile</t>
  </si>
  <si>
    <t>CHL</t>
  </si>
  <si>
    <t>China</t>
  </si>
  <si>
    <t>CHN</t>
  </si>
  <si>
    <t>Cote d'Ivoire</t>
  </si>
  <si>
    <t>CIV</t>
  </si>
  <si>
    <t>Cameroon</t>
  </si>
  <si>
    <t>CMR</t>
  </si>
  <si>
    <t>Congo, Dem. Rep.</t>
  </si>
  <si>
    <t>COD</t>
  </si>
  <si>
    <t>Congo, Rep.</t>
  </si>
  <si>
    <t>COG</t>
  </si>
  <si>
    <t>Colombia</t>
  </si>
  <si>
    <t>COL</t>
  </si>
  <si>
    <t>Comoros</t>
  </si>
  <si>
    <t>COM</t>
  </si>
  <si>
    <t>Cabo Verde</t>
  </si>
  <si>
    <t>CPV</t>
  </si>
  <si>
    <t>Costa Rica</t>
  </si>
  <si>
    <t>CRI</t>
  </si>
  <si>
    <t>Cuba</t>
  </si>
  <si>
    <t>CUB</t>
  </si>
  <si>
    <t>Curacao</t>
  </si>
  <si>
    <t>CUW</t>
  </si>
  <si>
    <t>Cayman Islands</t>
  </si>
  <si>
    <t>CYM</t>
  </si>
  <si>
    <t>Cyprus</t>
  </si>
  <si>
    <t>CYP</t>
  </si>
  <si>
    <t>Czech Republic</t>
  </si>
  <si>
    <t>CZE</t>
  </si>
  <si>
    <t>Germany</t>
  </si>
  <si>
    <t>DEU</t>
  </si>
  <si>
    <t>Djibouti</t>
  </si>
  <si>
    <t>DJI</t>
  </si>
  <si>
    <t>Dominica</t>
  </si>
  <si>
    <t>DMA</t>
  </si>
  <si>
    <t>Denmark</t>
  </si>
  <si>
    <t>DNK</t>
  </si>
  <si>
    <t>Dominican Republic</t>
  </si>
  <si>
    <t>DOM</t>
  </si>
  <si>
    <t>Algeria</t>
  </si>
  <si>
    <t>DZA</t>
  </si>
  <si>
    <t>Ecuador</t>
  </si>
  <si>
    <t>ECU</t>
  </si>
  <si>
    <t>Egypt, Arab Rep.</t>
  </si>
  <si>
    <t>EGY</t>
  </si>
  <si>
    <t>Eritrea</t>
  </si>
  <si>
    <t>ERI</t>
  </si>
  <si>
    <t>Spain</t>
  </si>
  <si>
    <t>ESP</t>
  </si>
  <si>
    <t>Estonia</t>
  </si>
  <si>
    <t>EST</t>
  </si>
  <si>
    <t>Ethiopia</t>
  </si>
  <si>
    <t>ETH</t>
  </si>
  <si>
    <t>Finland</t>
  </si>
  <si>
    <t>FIN</t>
  </si>
  <si>
    <t>Fiji</t>
  </si>
  <si>
    <t>FJI</t>
  </si>
  <si>
    <t>France</t>
  </si>
  <si>
    <t>FRA</t>
  </si>
  <si>
    <t>Faroe Islands</t>
  </si>
  <si>
    <t>FRO</t>
  </si>
  <si>
    <t>Micronesia, Fed. Sts.</t>
  </si>
  <si>
    <t>FSM</t>
  </si>
  <si>
    <t>Gabon</t>
  </si>
  <si>
    <t>GAB</t>
  </si>
  <si>
    <t>United Kingdom</t>
  </si>
  <si>
    <t>GBR</t>
  </si>
  <si>
    <t>Georgia</t>
  </si>
  <si>
    <t>GEO</t>
  </si>
  <si>
    <t>Ghana</t>
  </si>
  <si>
    <t>GHA</t>
  </si>
  <si>
    <t>Gibraltar</t>
  </si>
  <si>
    <t>GIB</t>
  </si>
  <si>
    <t>Guinea</t>
  </si>
  <si>
    <t>GIN</t>
  </si>
  <si>
    <t>Gambia, The</t>
  </si>
  <si>
    <t>GMB</t>
  </si>
  <si>
    <t>Guinea-Bissau</t>
  </si>
  <si>
    <t>GNB</t>
  </si>
  <si>
    <t>Equatorial Guinea</t>
  </si>
  <si>
    <t>GNQ</t>
  </si>
  <si>
    <t>Greece</t>
  </si>
  <si>
    <t>GRC</t>
  </si>
  <si>
    <t>Grenada</t>
  </si>
  <si>
    <t>GRD</t>
  </si>
  <si>
    <t>Greenland</t>
  </si>
  <si>
    <t>GRL</t>
  </si>
  <si>
    <t>Guatemala</t>
  </si>
  <si>
    <t>GTM</t>
  </si>
  <si>
    <t>Guam</t>
  </si>
  <si>
    <t>GUM</t>
  </si>
  <si>
    <t>Guyana</t>
  </si>
  <si>
    <t>GUY</t>
  </si>
  <si>
    <t>Hong Kong SAR, China</t>
  </si>
  <si>
    <t>HKG</t>
  </si>
  <si>
    <t>Honduras</t>
  </si>
  <si>
    <t>HND</t>
  </si>
  <si>
    <t>Croatia</t>
  </si>
  <si>
    <t>HRV</t>
  </si>
  <si>
    <t>Haiti</t>
  </si>
  <si>
    <t>HTI</t>
  </si>
  <si>
    <t>Hungary</t>
  </si>
  <si>
    <t>HUN</t>
  </si>
  <si>
    <t>Indonesia</t>
  </si>
  <si>
    <t>IDN</t>
  </si>
  <si>
    <t>Isle of Man</t>
  </si>
  <si>
    <t>IMN</t>
  </si>
  <si>
    <t>India</t>
  </si>
  <si>
    <t>IND</t>
  </si>
  <si>
    <t>Ireland</t>
  </si>
  <si>
    <t>IRL</t>
  </si>
  <si>
    <t>Iran, Islamic Rep.</t>
  </si>
  <si>
    <t>IRN</t>
  </si>
  <si>
    <t>Iraq</t>
  </si>
  <si>
    <t>IRQ</t>
  </si>
  <si>
    <t>Iceland</t>
  </si>
  <si>
    <t>ISL</t>
  </si>
  <si>
    <t>Israel</t>
  </si>
  <si>
    <t>ISR</t>
  </si>
  <si>
    <t>Italy</t>
  </si>
  <si>
    <t>ITA</t>
  </si>
  <si>
    <t>Jamaica</t>
  </si>
  <si>
    <t>JAM</t>
  </si>
  <si>
    <t>Jordan</t>
  </si>
  <si>
    <t>JOR</t>
  </si>
  <si>
    <t>Japan</t>
  </si>
  <si>
    <t>JPN</t>
  </si>
  <si>
    <t>Kazakhstan</t>
  </si>
  <si>
    <t>KAZ</t>
  </si>
  <si>
    <t>Kenya</t>
  </si>
  <si>
    <t>KEN</t>
  </si>
  <si>
    <t>Kyrgyz Republic</t>
  </si>
  <si>
    <t>KGZ</t>
  </si>
  <si>
    <t>Cambodia</t>
  </si>
  <si>
    <t>KHM</t>
  </si>
  <si>
    <t>Kiribati</t>
  </si>
  <si>
    <t>KIR</t>
  </si>
  <si>
    <t>St. Kitts and Nevis</t>
  </si>
  <si>
    <t>KNA</t>
  </si>
  <si>
    <t>Korea, Rep.</t>
  </si>
  <si>
    <t>KOR</t>
  </si>
  <si>
    <t>Kuwait</t>
  </si>
  <si>
    <t>KWT</t>
  </si>
  <si>
    <t>Lao PDR</t>
  </si>
  <si>
    <t>LAO</t>
  </si>
  <si>
    <t>Lebanon</t>
  </si>
  <si>
    <t>LBN</t>
  </si>
  <si>
    <t>Liberia</t>
  </si>
  <si>
    <t>LBR</t>
  </si>
  <si>
    <t>Libya</t>
  </si>
  <si>
    <t>LBY</t>
  </si>
  <si>
    <t>St. Lucia</t>
  </si>
  <si>
    <t>LCA</t>
  </si>
  <si>
    <t>Liechtenstein</t>
  </si>
  <si>
    <t>LIE</t>
  </si>
  <si>
    <t>Sri Lanka</t>
  </si>
  <si>
    <t>LKA</t>
  </si>
  <si>
    <t>Lesotho</t>
  </si>
  <si>
    <t>LSO</t>
  </si>
  <si>
    <t>Lithuania</t>
  </si>
  <si>
    <t>LTU</t>
  </si>
  <si>
    <t>Luxembourg</t>
  </si>
  <si>
    <t>LUX</t>
  </si>
  <si>
    <t>Latvia</t>
  </si>
  <si>
    <t>LVA</t>
  </si>
  <si>
    <t>Macao SAR, China</t>
  </si>
  <si>
    <t>MAC</t>
  </si>
  <si>
    <t>St. Martin (French part)</t>
  </si>
  <si>
    <t>MAF</t>
  </si>
  <si>
    <t>Morocco</t>
  </si>
  <si>
    <t>MAR</t>
  </si>
  <si>
    <t>Monaco</t>
  </si>
  <si>
    <t>MCO</t>
  </si>
  <si>
    <t>Moldova</t>
  </si>
  <si>
    <t>MDA</t>
  </si>
  <si>
    <t>Madagascar</t>
  </si>
  <si>
    <t>MDG</t>
  </si>
  <si>
    <t>Maldives</t>
  </si>
  <si>
    <t>MDV</t>
  </si>
  <si>
    <t>Mexico</t>
  </si>
  <si>
    <t>MEX</t>
  </si>
  <si>
    <t>Marshall Islands</t>
  </si>
  <si>
    <t>MHL</t>
  </si>
  <si>
    <t>Macedonia, FYR</t>
  </si>
  <si>
    <t>MKD</t>
  </si>
  <si>
    <t>Mali</t>
  </si>
  <si>
    <t>MLI</t>
  </si>
  <si>
    <t>Malta</t>
  </si>
  <si>
    <t>MLT</t>
  </si>
  <si>
    <t>Myanmar</t>
  </si>
  <si>
    <t>MMR</t>
  </si>
  <si>
    <t>Montenegro</t>
  </si>
  <si>
    <t>MNE</t>
  </si>
  <si>
    <t>Mongolia</t>
  </si>
  <si>
    <t>MNG</t>
  </si>
  <si>
    <t>Northern Mariana Islands</t>
  </si>
  <si>
    <t>MNP</t>
  </si>
  <si>
    <t>Mozambique</t>
  </si>
  <si>
    <t>MOZ</t>
  </si>
  <si>
    <t>Mauritania</t>
  </si>
  <si>
    <t>MRT</t>
  </si>
  <si>
    <t>Mauritius</t>
  </si>
  <si>
    <t>MUS</t>
  </si>
  <si>
    <t>Malawi</t>
  </si>
  <si>
    <t>MWI</t>
  </si>
  <si>
    <t>Malaysia</t>
  </si>
  <si>
    <t>MYS</t>
  </si>
  <si>
    <t>Namibia</t>
  </si>
  <si>
    <t>NAM</t>
  </si>
  <si>
    <t>New Caledonia</t>
  </si>
  <si>
    <t>NCL</t>
  </si>
  <si>
    <t>Niger</t>
  </si>
  <si>
    <t>NER</t>
  </si>
  <si>
    <t>Nigeria</t>
  </si>
  <si>
    <t>NGA</t>
  </si>
  <si>
    <t>Nicaragua</t>
  </si>
  <si>
    <t>NIC</t>
  </si>
  <si>
    <t>Netherlands</t>
  </si>
  <si>
    <t>NLD</t>
  </si>
  <si>
    <t>Norway</t>
  </si>
  <si>
    <t>NOR</t>
  </si>
  <si>
    <t>Nepal</t>
  </si>
  <si>
    <t>NPL</t>
  </si>
  <si>
    <t>Nauru</t>
  </si>
  <si>
    <t>NRU</t>
  </si>
  <si>
    <t>New Zealand</t>
  </si>
  <si>
    <t>NZL</t>
  </si>
  <si>
    <t>Oman</t>
  </si>
  <si>
    <t>OMN</t>
  </si>
  <si>
    <t>Pakistan</t>
  </si>
  <si>
    <t>PAK</t>
  </si>
  <si>
    <t>Panama</t>
  </si>
  <si>
    <t>PAN</t>
  </si>
  <si>
    <t>Peru</t>
  </si>
  <si>
    <t>PER</t>
  </si>
  <si>
    <t>Philippines</t>
  </si>
  <si>
    <t>PHL</t>
  </si>
  <si>
    <t>Palau</t>
  </si>
  <si>
    <t>PLW</t>
  </si>
  <si>
    <t>Papua New Guinea</t>
  </si>
  <si>
    <t>PNG</t>
  </si>
  <si>
    <t>Poland</t>
  </si>
  <si>
    <t>POL</t>
  </si>
  <si>
    <t>Puerto Rico</t>
  </si>
  <si>
    <t>PRI</t>
  </si>
  <si>
    <t>Korea, Dem. People’s Rep.</t>
  </si>
  <si>
    <t>PRK</t>
  </si>
  <si>
    <t>Portugal</t>
  </si>
  <si>
    <t>PRT</t>
  </si>
  <si>
    <t>Paraguay</t>
  </si>
  <si>
    <t>PRY</t>
  </si>
  <si>
    <t>West Bank and Gaza</t>
  </si>
  <si>
    <t>PSE</t>
  </si>
  <si>
    <t>French Polynesia</t>
  </si>
  <si>
    <t>PYF</t>
  </si>
  <si>
    <t>Qatar</t>
  </si>
  <si>
    <t>QAT</t>
  </si>
  <si>
    <t>Romania</t>
  </si>
  <si>
    <t>ROU</t>
  </si>
  <si>
    <t>Russian Federation</t>
  </si>
  <si>
    <t>RUS</t>
  </si>
  <si>
    <t>Rwanda</t>
  </si>
  <si>
    <t>RWA</t>
  </si>
  <si>
    <t>Saudi Arabia</t>
  </si>
  <si>
    <t>SAU</t>
  </si>
  <si>
    <t>Sudan</t>
  </si>
  <si>
    <t>SDN</t>
  </si>
  <si>
    <t>Senegal</t>
  </si>
  <si>
    <t>SEN</t>
  </si>
  <si>
    <t>Singapore</t>
  </si>
  <si>
    <t>SGP</t>
  </si>
  <si>
    <t>Solomon Islands</t>
  </si>
  <si>
    <t>SLB</t>
  </si>
  <si>
    <t>Sierra Leone</t>
  </si>
  <si>
    <t>SLE</t>
  </si>
  <si>
    <t>El Salvador</t>
  </si>
  <si>
    <t>SLV</t>
  </si>
  <si>
    <t>San Marino</t>
  </si>
  <si>
    <t>SMR</t>
  </si>
  <si>
    <t>Somalia</t>
  </si>
  <si>
    <t>SOM</t>
  </si>
  <si>
    <t>Serbia</t>
  </si>
  <si>
    <t>SRB</t>
  </si>
  <si>
    <t>South Sudan</t>
  </si>
  <si>
    <t>SSD</t>
  </si>
  <si>
    <t>Sao Tome and Principe</t>
  </si>
  <si>
    <t>STP</t>
  </si>
  <si>
    <t>Suriname</t>
  </si>
  <si>
    <t>SUR</t>
  </si>
  <si>
    <t>Slovak Republic</t>
  </si>
  <si>
    <t>SVK</t>
  </si>
  <si>
    <t>Slovenia</t>
  </si>
  <si>
    <t>SVN</t>
  </si>
  <si>
    <t>Sweden</t>
  </si>
  <si>
    <t>SWE</t>
  </si>
  <si>
    <t>Swaziland</t>
  </si>
  <si>
    <t>SWZ</t>
  </si>
  <si>
    <t>Sint Maarten (Dutch part)</t>
  </si>
  <si>
    <t>SXM</t>
  </si>
  <si>
    <t>Seychelles</t>
  </si>
  <si>
    <t>SYC</t>
  </si>
  <si>
    <t>Syrian Arab Republic</t>
  </si>
  <si>
    <t>SYR</t>
  </si>
  <si>
    <t>Turks and Caicos Islands</t>
  </si>
  <si>
    <t>TCA</t>
  </si>
  <si>
    <t>Chad</t>
  </si>
  <si>
    <t>TCD</t>
  </si>
  <si>
    <t>Togo</t>
  </si>
  <si>
    <t>TGO</t>
  </si>
  <si>
    <t>Thailand</t>
  </si>
  <si>
    <t>THA</t>
  </si>
  <si>
    <t>Tajikistan</t>
  </si>
  <si>
    <t>TJK</t>
  </si>
  <si>
    <t>Turkmenistan</t>
  </si>
  <si>
    <t>TKM</t>
  </si>
  <si>
    <t>Timor-Leste</t>
  </si>
  <si>
    <t>TLS</t>
  </si>
  <si>
    <t>Tonga</t>
  </si>
  <si>
    <t>TON</t>
  </si>
  <si>
    <t>Trinidad and Tobago</t>
  </si>
  <si>
    <t>TTO</t>
  </si>
  <si>
    <t>Tunisia</t>
  </si>
  <si>
    <t>TUN</t>
  </si>
  <si>
    <t>Turkey</t>
  </si>
  <si>
    <t>TUR</t>
  </si>
  <si>
    <t>Tuvalu</t>
  </si>
  <si>
    <t>TUV</t>
  </si>
  <si>
    <t>Tanzania</t>
  </si>
  <si>
    <t>TZA</t>
  </si>
  <si>
    <t>Uganda</t>
  </si>
  <si>
    <t>UGA</t>
  </si>
  <si>
    <t>Ukraine</t>
  </si>
  <si>
    <t>UKR</t>
  </si>
  <si>
    <t>Uruguay</t>
  </si>
  <si>
    <t>URY</t>
  </si>
  <si>
    <t>United States</t>
  </si>
  <si>
    <t>USA</t>
  </si>
  <si>
    <t>Uzbekistan</t>
  </si>
  <si>
    <t>UZB</t>
  </si>
  <si>
    <t>St. Vincent and the Grenadines</t>
  </si>
  <si>
    <t>VCT</t>
  </si>
  <si>
    <t>Venezuela, RB</t>
  </si>
  <si>
    <t>VEN</t>
  </si>
  <si>
    <t>British Virgin Islands</t>
  </si>
  <si>
    <t>VGB</t>
  </si>
  <si>
    <t>Virgin Islands (U.S.)</t>
  </si>
  <si>
    <t>VIR</t>
  </si>
  <si>
    <t>Vietnam</t>
  </si>
  <si>
    <t>VNM</t>
  </si>
  <si>
    <t>Vanuatu</t>
  </si>
  <si>
    <t>VUT</t>
  </si>
  <si>
    <t>Samoa</t>
  </si>
  <si>
    <t>WSM</t>
  </si>
  <si>
    <t>Kosovo</t>
  </si>
  <si>
    <t>XKX</t>
  </si>
  <si>
    <t>Yemen, Rep.</t>
  </si>
  <si>
    <t>YEM</t>
  </si>
  <si>
    <t>South Africa</t>
  </si>
  <si>
    <t>ZAF</t>
  </si>
  <si>
    <t>Zambia</t>
  </si>
  <si>
    <t>ZMB</t>
  </si>
  <si>
    <t>Zimbabwe</t>
  </si>
  <si>
    <t>ZWE</t>
  </si>
  <si>
    <t>Average Africa</t>
  </si>
  <si>
    <t>Average Americas</t>
  </si>
  <si>
    <t>Average Asia</t>
  </si>
  <si>
    <t>Average Europe</t>
  </si>
  <si>
    <t>Average Oceania</t>
  </si>
  <si>
    <t>World</t>
  </si>
  <si>
    <t>Deutsch</t>
  </si>
  <si>
    <t>Italiano</t>
  </si>
  <si>
    <t>English</t>
  </si>
  <si>
    <t>Español</t>
  </si>
  <si>
    <t>Francais</t>
  </si>
  <si>
    <t>Portugues</t>
  </si>
  <si>
    <t>Griechisch</t>
  </si>
  <si>
    <t>GEMEINWOHL-RECHNER</t>
  </si>
  <si>
    <t>Calcolatore del Bene Comune</t>
  </si>
  <si>
    <t>BALANCE SHEET CALCULATOR</t>
  </si>
  <si>
    <t>CALCULADORA DEL BIEN COMÚN</t>
  </si>
  <si>
    <t>© GWÖ</t>
  </si>
  <si>
    <t>© Economia del Bene Comune</t>
  </si>
  <si>
    <t>© ECG</t>
  </si>
  <si>
    <t>© Economía del Bien Común</t>
  </si>
  <si>
    <t>Version</t>
  </si>
  <si>
    <t>Versione</t>
  </si>
  <si>
    <t>Versión</t>
  </si>
  <si>
    <t>Versão</t>
  </si>
  <si>
    <t>HERZLICH WILLKOMMEN!</t>
  </si>
  <si>
    <t>Benvenuto!</t>
  </si>
  <si>
    <t>WELCOME!</t>
  </si>
  <si>
    <t>¡Bienvenid@!</t>
  </si>
  <si>
    <t>Dieses Tool dient zur Berechnung der Gemeinwohl-Punkte Ihres Unternehmens. Es ist eine Ergänzung zum Gemeinwohlbericht und muss gemeinsam mit diesem genutzt werden.  Wir wünschen gutes Gelingen!</t>
  </si>
  <si>
    <t>Può utilizzare questo strumento per calcolare i punti del bene comune della sua impresa. Serve quale completamento alla relazione del bene comune e deve essere utilizzato assieme a questo.
Le auguriamo buon divertimento in questa attività di calcolo!</t>
  </si>
  <si>
    <t>This tool is for calculating the overall Common Good Points for your company or organisation. It complements the Common Good Report and has to be used together with it. Have fun with your calculation!</t>
  </si>
  <si>
    <t>Esta herramienta sirve para calcular la puntuación de su empresa de acuerdo al balance del Bien Común. Esta hoja de cálculo es complementaria al informe del Bien Común y debe utilizarse por tanto conjuntamente. ¡Buena suerte!</t>
  </si>
  <si>
    <t>WIE SIE DEN BILANZ-RECHNER RICHTIG VERWENDEN:</t>
  </si>
  <si>
    <t>Come utilizzare correttamente il calcolatore del bilancio:</t>
  </si>
  <si>
    <t>HOW TO USE THE BALANCE SHEET CALCULATOR:</t>
  </si>
  <si>
    <t>Cómo utilizar la calculadora del Bien Común correctamente</t>
  </si>
  <si>
    <t>1. Allgemeines</t>
  </si>
  <si>
    <t>1. Generale</t>
  </si>
  <si>
    <t>1. General</t>
  </si>
  <si>
    <t>Hier können Sie allgemeinen Angaben zu Ihrem Unternehmen machen.</t>
  </si>
  <si>
    <t>Qui può indicare tutte le informazioni e dati della sua impresa</t>
  </si>
  <si>
    <t>You can enter general information about your company or organisation in this section.</t>
  </si>
  <si>
    <t>En esta hoja puedes introducir información general sobre tu organización o empresa</t>
  </si>
  <si>
    <t xml:space="preserve">Hier müssen alle geforderten Kenngrößen eingetragen werden, da diese für die Gewichtung der Themen essentiell sind. </t>
  </si>
  <si>
    <t>Qui devono essere inseriti tutti i parametri richiesti, poiché questi sono essenziali per la ponderazione degli argomenti.</t>
  </si>
  <si>
    <t>All fields in this section must be completed as they are essential for the weighting of each theme.</t>
  </si>
  <si>
    <t>En esta hoja debes introducir todos los datos requeridos, pues el cálculo de la ponderación depende de ellos</t>
  </si>
  <si>
    <t>Für jedes Thema (A1, B1, ...) kann eine bestimmte Anzahl an Gemeinwohl-Punkten erreicht werden. Um zu ermitteln, wie viele davon Ihr Unternehmen erhält, gehen Sie wie folgt vor:</t>
  </si>
  <si>
    <t>Per ogni tema (A1, B1, ...) può essere raggiunto un determinate valore di punteggio del bene comune. Per ricavare, che punteggio ottiene la Sua impresa proceda nel modo seguente:</t>
  </si>
  <si>
    <t>For each theme (A1, B1, ...) a certain maximum number of Common Good Points can be achieved. To evaluate how many points your company scores, follow these steps:</t>
  </si>
  <si>
    <t>Para cada tema (A1, B1, …) puede obtenerse una puntuación determinada. Para calcular cuál obtiene su empresa, siga los pasos siguientes:</t>
  </si>
  <si>
    <r>
      <rPr>
        <sz val="11"/>
        <color indexed="8"/>
        <rFont val="Calibri"/>
        <family val="2"/>
      </rPr>
      <t>Beschreiben Sie auf Basis des Arbeitsbuchs in wenigen Stichworten</t>
    </r>
    <r>
      <rPr>
        <b/>
        <sz val="11"/>
        <color indexed="8"/>
        <rFont val="Calibri"/>
        <family val="2"/>
      </rPr>
      <t xml:space="preserve"> Ist-Zustand und Verbesserungspotenzial</t>
    </r>
    <r>
      <rPr>
        <sz val="11"/>
        <color indexed="8"/>
        <rFont val="Calibri"/>
        <family val="2"/>
      </rPr>
      <t xml:space="preserve"> für die verschiedenen Aspekte (optional, ist für die Berechnung nicht unbedingt notwendig).</t>
    </r>
  </si>
  <si>
    <t>Descrivi sulla base del libro di esercizi in poche parole chiave lo stato attuale e il potenziale di miglioramento per i diversi aspetti (facoltativo, non è assolutamente necessario per il calcolo).</t>
  </si>
  <si>
    <t>Describe the current status and potential for improvement for the various aspects under key headings. Use the workbook as a reference. (This is optional and not absolutely necessary for the calculation.)</t>
  </si>
  <si>
    <t>Describa en pocas palabras, de acuerdo al manual del Balance del Bien Común, cuál es el estado actual y el potencial de mejora para cada uno de los aspectos (opcional, no es necesario para el cálculo de la puntuación).</t>
  </si>
  <si>
    <t>Geben Sie - aufbauend auf diesen Beschreibungen - an, entsprechend welchem Skalenwert (0-10) Ihrer Meinung nach der jeweilige Aspekt erfüllt ist (Spalte "Erfüllungsgrad"). Anhaltspunkte zur Wahl des "richtigen" Skalenwerts finden Sie wiederum im Arbeitsbuch.</t>
  </si>
  <si>
    <t>In base a queste descrizioni, indica in base a quale valore di scala (0-10) pensi che il rispettivo aspetto sia soddisfatto (colonna "grado di realizzazione"). Troverete indizi per scegliere il valore di scala "corretto" nella cartella di lavoro.</t>
  </si>
  <si>
    <t>Based on these descriptions, indicate on a scale of 0-10 how far you consider the respective aspect is met (Achievement level). The criteria for choosing the correct value can be found in the Workbook.</t>
  </si>
  <si>
    <t>A partir de las descripciones previas, introduzca una puntuación de 0 a 10 que indique, según su opinión, el nivel de satisfacción de cada aspecto. Los niveles de referencia para la puntuación y otras indicaciones al respecto se encuentran en el manual.</t>
  </si>
  <si>
    <t xml:space="preserve">Für die Bewertung der Negativaspekte geben Sie Punktewerte entsprechend der Beschreibungen im Arbeitsbuch an. </t>
  </si>
  <si>
    <t>Per la valutazione degli aspetti negativi si indicano i valori dei punti in base alle descrizioni nel manuale.</t>
  </si>
  <si>
    <t>Negative aspects are allocated negative points according to the descriptions set out in the Workbook.</t>
  </si>
  <si>
    <t>Para aportar una puntuación a cada uno de los aspectos negativos utilice las indicaciones del manual.</t>
  </si>
  <si>
    <t>Sie können, wenn es für ihr Unternehmen notwendig erscheint, in Abstimmung mit der AuditorIn die relativen Gewichtungen der einzelnen Aspekte (A1.1, A1.2, ...) verändern. In der Spalte "Gewichtung" ("Gew.") können Sie für jeden Aspekt Werte auswählen. Die Verteilung der möglichen Punkte auf die einzelnen Aspekte wird dann automatisch angepasst, sodass die Summe aller Aspekte eines Themas immer 100% ergibt.</t>
  </si>
  <si>
    <t>È possibile modificare le ponderazioni relative dei singoli aspetti (A1.1, A1.2, ...), se necessario per la propria azienda, in consultazione con l’auitor. Nella colonna "Peso", è possibile selezionare i valori per ogni aspetto. La distribuzione dei possibili punti sui singoli aspetti viene quindi regolata automaticamente, in modo che la somma di tutti gli aspetti di un argomento sia sempre al 100%.</t>
  </si>
  <si>
    <t>Where deemed necessary for your company and in agreement with the auditors you can change the relative weightings of individual aspects (A1.1, A1.2, ..). In the column Weighting, you can select values for each aspect. The distribution of available points for individual aspects will then be adjusted automatically, so that the total of all aspects of an indicator result in 100%.</t>
  </si>
  <si>
    <t>Puede cambiar las ponderaciones que realiza la hoja de cálculo por defecto, siempre y cuando la auditoría esté de acuerdo. En la columna “Ponderación” puede seleccionar una opción del catálogo. La distribución de los puntos de cada uno de los aspectos se realiza automáticamente, de tal manera que la suma de todos los aspectos del tema siempre tiene como resultado el 100%.</t>
  </si>
  <si>
    <r>
      <rPr>
        <sz val="11"/>
        <color indexed="8"/>
        <rFont val="Calibri"/>
        <family val="2"/>
      </rPr>
      <t xml:space="preserve">Bei der Berechnung werden die Gesamtwerte pro Thema automatisch entsprechend der Angaben im Faktenblatt </t>
    </r>
    <r>
      <rPr>
        <b/>
        <sz val="11"/>
        <color indexed="8"/>
        <rFont val="Calibri"/>
        <family val="2"/>
      </rPr>
      <t>gewichtet</t>
    </r>
    <r>
      <rPr>
        <sz val="11"/>
        <color indexed="8"/>
        <rFont val="Calibri"/>
        <family val="2"/>
      </rPr>
      <t xml:space="preserve"> und auf ganzzahlige Vielfache von 10% </t>
    </r>
    <r>
      <rPr>
        <b/>
        <sz val="11"/>
        <color indexed="8"/>
        <rFont val="Calibri"/>
        <family val="2"/>
      </rPr>
      <t>gerundet</t>
    </r>
    <r>
      <rPr>
        <sz val="11"/>
        <color indexed="8"/>
        <rFont val="Calibri"/>
        <family val="2"/>
      </rPr>
      <t>.</t>
    </r>
  </si>
  <si>
    <t>Nel calcolo, i totali per argomento vengono automaticamente ponderati in base alla scheda informativa e arrotondati ai multipli interi del 10%.</t>
  </si>
  <si>
    <t>The calculation automatically weights each theme’s total value against the data in the ‘Company details’ section and rounds it to a whole-number multiple of 10%.</t>
  </si>
  <si>
    <t>Los valores introducidos son ponderados de acuerdo a los datos introducidos en la hoja 2. Company Facts. El resultado es redondeado y presentado como número entero.</t>
  </si>
  <si>
    <t>Die "GW-Matrix" bietet einen tabellarischen Überblick über Ihr Ergebnis.</t>
  </si>
  <si>
    <t>La "matrice EBC" fornisce una panoramica tabellare del risultato.</t>
  </si>
  <si>
    <t>The ECG-Matrix displays your result in a table.</t>
  </si>
  <si>
    <t>La hoja “ECG-Matrix” muestra los resultados en una tabla resumen.</t>
  </si>
  <si>
    <r>
      <rPr>
        <sz val="11"/>
        <color indexed="8"/>
        <rFont val="Calibri"/>
        <family val="2"/>
      </rPr>
      <t xml:space="preserve">Die "GW-Matrix" bietet einen </t>
    </r>
    <r>
      <rPr>
        <b/>
        <sz val="11"/>
        <color indexed="8"/>
        <rFont val="Calibri"/>
        <family val="2"/>
      </rPr>
      <t>tabellarischen Blick auf Ihr Ergebnis</t>
    </r>
    <r>
      <rPr>
        <sz val="11"/>
        <color indexed="8"/>
        <rFont val="Calibri"/>
        <family val="2"/>
      </rPr>
      <t>.</t>
    </r>
  </si>
  <si>
    <t>La "matrice EBC" offre una vista tabellare del risultato.</t>
  </si>
  <si>
    <t>The ECG Matrix displays your result in a table.</t>
  </si>
  <si>
    <t>La hoja “ECG-Matrix” muestra los resultados de la puntuación presentando una vista general en forma de matriz (tabla).</t>
  </si>
  <si>
    <r>
      <rPr>
        <sz val="11"/>
        <color indexed="8"/>
        <rFont val="Calibri"/>
        <family val="2"/>
      </rPr>
      <t xml:space="preserve">Der "Werte-Stern" zeigt schließlich Ihr </t>
    </r>
    <r>
      <rPr>
        <b/>
        <sz val="11"/>
        <color indexed="8"/>
        <rFont val="Calibri"/>
        <family val="2"/>
      </rPr>
      <t>Ergebnis nach Werten gegliedert</t>
    </r>
    <r>
      <rPr>
        <sz val="11"/>
        <color indexed="8"/>
        <rFont val="Calibri"/>
        <family val="2"/>
      </rPr>
      <t xml:space="preserve"> in graphischer Form.</t>
    </r>
  </si>
  <si>
    <t>La "stella dei valori" mostra infine il risultato in base a valori strutturati in forma grafica.</t>
  </si>
  <si>
    <t>The values-star displays your result arranged by value as a graphic.</t>
  </si>
  <si>
    <t>La hoja “Values” muestra un diagrama de araña en el que se muestran las puntuaciones según “valor” o columna de la matriz.</t>
  </si>
  <si>
    <r>
      <rPr>
        <sz val="11"/>
        <color indexed="8"/>
        <rFont val="Calibri"/>
        <family val="2"/>
      </rPr>
      <t xml:space="preserve">Der "Gruppen-Stern" zeigt schließlich Ihr </t>
    </r>
    <r>
      <rPr>
        <b/>
        <sz val="11"/>
        <color indexed="8"/>
        <rFont val="Calibri"/>
        <family val="2"/>
      </rPr>
      <t>Ergebnis nach Berührungsgruppen</t>
    </r>
    <r>
      <rPr>
        <sz val="11"/>
        <color indexed="8"/>
        <rFont val="Calibri"/>
        <family val="2"/>
      </rPr>
      <t xml:space="preserve"> gegliedert in graphischer Form.</t>
    </r>
  </si>
  <si>
    <t>La "stella dei gruppi" mostra infine il risultato in base a gruppi d’interesse  strutturati in forma grafica.</t>
  </si>
  <si>
    <t>The group-star displays your result arranged by stakeholder as a graphic.</t>
  </si>
  <si>
    <t>La hoja “Stakeholders” muestra un diagrama de araña en el que se muestran las puntuaciones según “grupo de interés” o fila de la matriz.</t>
  </si>
  <si>
    <r>
      <rPr>
        <sz val="11"/>
        <color indexed="8"/>
        <rFont val="Calibri"/>
        <family val="2"/>
      </rPr>
      <t>Der "Themen-Stern" zeigt schließlich Ihr Ergebnis in</t>
    </r>
    <r>
      <rPr>
        <b/>
        <sz val="11"/>
        <color indexed="8"/>
        <rFont val="Calibri"/>
        <family val="2"/>
      </rPr>
      <t xml:space="preserve"> allen Themen in graphischer Form</t>
    </r>
    <r>
      <rPr>
        <sz val="11"/>
        <color indexed="8"/>
        <rFont val="Calibri"/>
        <family val="2"/>
      </rPr>
      <t>.</t>
    </r>
  </si>
  <si>
    <t>La "stella dei temi" mostra finalmente il risultato in tutti i temi in forma grafica.</t>
  </si>
  <si>
    <t>The theme-star displays the result of your themes as a graphic.</t>
  </si>
  <si>
    <t>La hoja “Topics” muestra un diagrama de araña en el que se muestran las puntuaciones de cada tema.</t>
  </si>
  <si>
    <r>
      <rPr>
        <sz val="11"/>
        <color indexed="8"/>
        <rFont val="Calibri"/>
        <family val="2"/>
      </rPr>
      <t xml:space="preserve">Hier finden Sie eine </t>
    </r>
    <r>
      <rPr>
        <b/>
        <sz val="11"/>
        <color indexed="8"/>
        <rFont val="Calibri"/>
        <family val="2"/>
      </rPr>
      <t>Beschreibung der Gewichtungsmodelles</t>
    </r>
    <r>
      <rPr>
        <sz val="11"/>
        <color indexed="8"/>
        <rFont val="Calibri"/>
        <family val="2"/>
      </rPr>
      <t xml:space="preserve">. </t>
    </r>
  </si>
  <si>
    <t>Qui potete trovare una descrizione del modello di ponderazione.</t>
  </si>
  <si>
    <t>This is a description of the weighting model.</t>
  </si>
  <si>
    <t>En la hoja “Descr. Weighting” se encuentra una descripción del método de ponderación.</t>
  </si>
  <si>
    <r>
      <rPr>
        <sz val="11"/>
        <color indexed="8"/>
        <rFont val="Calibri"/>
        <family val="2"/>
      </rPr>
      <t xml:space="preserve">Hier erfolgt die </t>
    </r>
    <r>
      <rPr>
        <b/>
        <sz val="11"/>
        <color indexed="8"/>
        <rFont val="Calibri"/>
        <family val="2"/>
      </rPr>
      <t>Berechnung wie die einzelnen Berührungsgruppen und Themen gewichtet werden</t>
    </r>
    <r>
      <rPr>
        <sz val="11"/>
        <color indexed="8"/>
        <rFont val="Calibri"/>
        <family val="2"/>
      </rPr>
      <t>.</t>
    </r>
  </si>
  <si>
    <t>Qui il calcolo avviene come vengono pesati i singoli gruppi d’interesse ed i temi.</t>
  </si>
  <si>
    <t>This is where the calculation determines how the individual stakeholder groups and themes are weighted.</t>
  </si>
  <si>
    <t>En la hoja “Weighting” se realiza el cálculo para las ponderaciones de los grupos de interés y temas.</t>
  </si>
  <si>
    <r>
      <rPr>
        <sz val="11"/>
        <color indexed="8"/>
        <rFont val="Calibri"/>
        <family val="2"/>
      </rPr>
      <t xml:space="preserve">Enthält Einschätzungen der Relevanz von Zulieferkette und ökologische Nachhaltigkeit für alle </t>
    </r>
    <r>
      <rPr>
        <b/>
        <sz val="11"/>
        <color indexed="8"/>
        <rFont val="Calibri"/>
        <family val="2"/>
      </rPr>
      <t>Branchen,</t>
    </r>
    <r>
      <rPr>
        <sz val="11"/>
        <color indexed="8"/>
        <rFont val="Calibri"/>
        <family val="2"/>
      </rPr>
      <t xml:space="preserve">, die für die Gewichtung herangezogen werden. </t>
    </r>
  </si>
  <si>
    <t>Include stime della dell'importanza della rete dei fornitori e della sostenibilità ambientale per tutti i settori utilizzati per la ponderazione.</t>
  </si>
  <si>
    <t>This contains an assessment of the relevance of supply chains and environmental sustainability for all industry sectors, used in the weighting.</t>
  </si>
  <si>
    <t>Esta hoja contiene estimaciones sobre la relevancia de la cadena de suministro y sostenibilidad medioambiental de todos los sectores. Esta información se utiliza para realizar la ponderación.</t>
  </si>
  <si>
    <t xml:space="preserve">Enthält Statistiken für Länder und Regionen, die für die Gewichtung herangezogen werden. </t>
  </si>
  <si>
    <t>Contiene statistiche per paesi e regioni utilizzati per la ponderazione.</t>
  </si>
  <si>
    <t>This contains statistics for countries and regions used in the weighting.</t>
  </si>
  <si>
    <t>Esta hoja contiene estadísticas de países y regiones que son utilizadas para realizar las ponderaciones.</t>
  </si>
  <si>
    <t>2. Fakten zum Unternehmen</t>
  </si>
  <si>
    <t>2. Fatti sull'impresa</t>
  </si>
  <si>
    <t>2. Company details</t>
  </si>
  <si>
    <t>2. Datos de la empresa</t>
  </si>
  <si>
    <t>3. Berechnung</t>
  </si>
  <si>
    <t>3. calcolo</t>
  </si>
  <si>
    <t>3. Scoring</t>
  </si>
  <si>
    <t>3. Cálculo</t>
  </si>
  <si>
    <t>4. GW-Matrix</t>
  </si>
  <si>
    <t>4. matrice del bene comune</t>
  </si>
  <si>
    <t>4. ECG Matrix</t>
  </si>
  <si>
    <t>4. Matriz EBC</t>
  </si>
  <si>
    <t>5. Werte-Stern</t>
  </si>
  <si>
    <t>5. valori stella</t>
  </si>
  <si>
    <t>5. Values star</t>
  </si>
  <si>
    <t>5. Diagrama valores</t>
  </si>
  <si>
    <t>6. Gruppen-Stern</t>
  </si>
  <si>
    <t>6. gruppi stella</t>
  </si>
  <si>
    <t>6. Group star</t>
  </si>
  <si>
    <t>6. Diagrama grupos de interés</t>
  </si>
  <si>
    <t>7. Themen-Stern</t>
  </si>
  <si>
    <t>7. argomenti stella</t>
  </si>
  <si>
    <t>7. Theme star</t>
  </si>
  <si>
    <t>7. Diagrama temas</t>
  </si>
  <si>
    <t>8. Beschreibung Gewichtungsmodell</t>
  </si>
  <si>
    <t>8. Modello di ponderazione della descrizione</t>
  </si>
  <si>
    <t>8. Weighting model description</t>
  </si>
  <si>
    <t>8. Descripción del método de ponderación</t>
  </si>
  <si>
    <t>9. Gewichtung (ausgeblendet)</t>
  </si>
  <si>
    <t>9. Ponderazione (nascosta)</t>
  </si>
  <si>
    <t>9. Weighting (hidden)</t>
  </si>
  <si>
    <t>9. Ponderación (oculta)</t>
  </si>
  <si>
    <t>10. Branchen (ausgeblendet)</t>
  </si>
  <si>
    <t>10. Settori (nascosti)</t>
  </si>
  <si>
    <t>10. Industry sectors (hidden)</t>
  </si>
  <si>
    <t>10. Sectores (oculta)</t>
  </si>
  <si>
    <t>11. Länder und Regionen (ausgeblendet)</t>
  </si>
  <si>
    <t>11. Paesi e regioni (nascosti)</t>
  </si>
  <si>
    <t>11. Countries (hidden)</t>
  </si>
  <si>
    <t>11. Países y regiones (oculta)</t>
  </si>
  <si>
    <t>LEGENDE</t>
  </si>
  <si>
    <t>LEGENDA</t>
  </si>
  <si>
    <t>KEY</t>
  </si>
  <si>
    <t>LEYENDA</t>
  </si>
  <si>
    <t>Feld ist beschreibbar (grüner Rahmen, dunkelgrüne Schrift)</t>
  </si>
  <si>
    <t>Il campo è descrivibile (cornici nere, scritta verde scuro)</t>
  </si>
  <si>
    <t>Field is editable (green frame, dark green text)</t>
  </si>
  <si>
    <t>Celda editable (borde verde, letra verde oscura)</t>
  </si>
  <si>
    <t>Feld ist nicht beschreibbar (grauer Rahmen, dunkelgraue Schrift)</t>
  </si>
  <si>
    <t>Il campo non è descrivibile (cornice grigia, scritta grigio scuro)</t>
  </si>
  <si>
    <t>Feld is read-only (grey frame, dark grey text)</t>
  </si>
  <si>
    <t>Celda protegida (borde gris, letra gris oscura)</t>
  </si>
  <si>
    <t>unerlaubter Wert eingegeben (zur korrekten Berechnung Wert ändern)</t>
  </si>
  <si>
    <t>È stato inserito un valore non permesso (per un calcolo corretto cambiare valore)</t>
  </si>
  <si>
    <t>non valid value entry (for correct calculation change value)</t>
  </si>
  <si>
    <t>Valor erróneo (cambie el valor para realizar un cálculo correcto)</t>
  </si>
  <si>
    <t>ja</t>
  </si>
  <si>
    <t>si</t>
  </si>
  <si>
    <t>yes</t>
  </si>
  <si>
    <t>Sí</t>
  </si>
  <si>
    <t>nein</t>
  </si>
  <si>
    <t>no</t>
  </si>
  <si>
    <t>No</t>
  </si>
  <si>
    <t>Pas</t>
  </si>
  <si>
    <t>Nao</t>
  </si>
  <si>
    <t>KONTAKT</t>
  </si>
  <si>
    <t>CONTATTO</t>
  </si>
  <si>
    <t>CONTACT</t>
  </si>
  <si>
    <t>CONTACTO</t>
  </si>
  <si>
    <t>Fragen zur Bilanz-Erstellung: beratung@gemeinwohl-oekonomie.org (GWÖ-BeraterInnen);</t>
  </si>
  <si>
    <t>Domande per il bilancio: info@economia-del-ben-comune.it (consulenti EBC)</t>
  </si>
  <si>
    <t>Questions regarding preparation of balance sheet:
beratung@gemeinwohl-oekonomie.org (GWÖ-BeraterInnen);</t>
  </si>
  <si>
    <t>Preguntas sobre como elaborar el balance del Bien Común: nodo-empresas@economia-del-bien-comun.es</t>
  </si>
  <si>
    <t>Fragen zur Auditierung: audit@gemeinwohl-oekonomie.org (GWÖ-AuditorInnen);</t>
  </si>
  <si>
    <t>Domande per l'audit: audit@febc.eu (Verificatori/auditori EBC)</t>
  </si>
  <si>
    <t>Questions regarding audit: audit@gemeinwohl-oekonomie.org (GWÖ-AuditorInnen);</t>
  </si>
  <si>
    <t>Preguntas sobre la auditoría: nodo-empresas@economia-del-bien-comun.es</t>
  </si>
  <si>
    <r>
      <rPr>
        <sz val="11"/>
        <color indexed="8"/>
        <rFont val="Calibri"/>
        <family val="2"/>
      </rPr>
      <t xml:space="preserve">Weiterentwicklung der Matrix: </t>
    </r>
    <r>
      <rPr>
        <u/>
        <sz val="11"/>
        <color indexed="8"/>
        <rFont val="Calibri"/>
        <family val="2"/>
      </rPr>
      <t>bilanz@ecogood.org</t>
    </r>
    <r>
      <rPr>
        <sz val="11"/>
        <color indexed="8"/>
        <rFont val="Calibri"/>
        <family val="2"/>
      </rPr>
      <t xml:space="preserve"> (GWÖ-Matrix Entwicklungsteam);</t>
    </r>
  </si>
  <si>
    <t>Feedback on the development of the Matrix: bilanz@ecogood.org (Matrix Development Team)</t>
  </si>
  <si>
    <t>Desarrollo de la matriz: bilanz@ecogood.org (Equipo de desarrollo de la matriz EBC)</t>
  </si>
  <si>
    <t>Excel-Programmierung: Christian Loy (christian.loy@gmx.at); Christian Kozina; Multilanguage-tool: Bernhard Oberrauch</t>
  </si>
  <si>
    <t>Programmazione Excel: Christian Loy (christian.loy@gmx.at); Christian Kozina; Multilanguage-tool: Bernhard Oberrauch (info@a-bo.net)</t>
  </si>
  <si>
    <t>Excel programming: Christian Loy (christian.loy@gmx.at); Christian Kozina; Multilanguage tool: Bernhard Oberrauch</t>
  </si>
  <si>
    <t>Programación en Excel: Christian Loy (christian.loy@gmx.at);Christian Kozina; Multilanguage-tool: Bernhard Oberrauch</t>
  </si>
  <si>
    <t>Inhalte: GWÖ-Matrix Entwicklungsteam</t>
  </si>
  <si>
    <t>Contents: ECG-Matrix Development Team</t>
  </si>
  <si>
    <t>Contenido: Equipo de desarrollo de la matriz EBC</t>
  </si>
  <si>
    <t>ANMERKUNGEN</t>
  </si>
  <si>
    <t>ANNOTAZIONI</t>
  </si>
  <si>
    <t>NOTES</t>
  </si>
  <si>
    <t>NOTAS ACLARATORIAS</t>
  </si>
  <si>
    <t>Alle Tabellen sind optimiert für den Ausdruck auf A4 (Hoch- oder Querformat).
Die Höhe der Zeilen ist veränderbar, falls Sie mehr Text eingeben wollen.</t>
  </si>
  <si>
    <t>Tutte le tabelle sono ottimizzate per la stampa in A4 (verticale o orizzontale).
L’Altezza delle celle è modificabile, nel caso Lei dovesse inserire più testo.</t>
  </si>
  <si>
    <t>All sheets are optimised for printing on A4 format (landscape or portrait).
The height of rows can be adjusted, if you enter more text</t>
  </si>
  <si>
    <t>Todas las hojas están editadas de tal manera que puedan imprimirse en un A4 (horizontal o vertical).
Si necesita más espacio para añadir más texto puede cambiar la altura de las filas.</t>
  </si>
  <si>
    <t>ALLGEMEINE ANGABEN ZUM UNTERNEHMEN</t>
  </si>
  <si>
    <t>Dati dell'impresa</t>
  </si>
  <si>
    <t>GENERAL INFORMATION ABOUT THE COMPANY</t>
  </si>
  <si>
    <t>INFORMACIÓN GENERAL SOBRE LA EMPRESA</t>
  </si>
  <si>
    <t>Bitte vollständig ausfüllen!</t>
  </si>
  <si>
    <t>Per favore compili completamente!</t>
  </si>
  <si>
    <t>Please complete all fields.</t>
  </si>
  <si>
    <t>Por favor introduzca todos los datos</t>
  </si>
  <si>
    <t>Name des Unternehmens:</t>
  </si>
  <si>
    <t>Nome dell'impresa:</t>
  </si>
  <si>
    <t>Name of Company / Organisation:</t>
  </si>
  <si>
    <t>Nombre de la empresa:</t>
  </si>
  <si>
    <t>Anschrift:</t>
  </si>
  <si>
    <t>Indirizzo:</t>
  </si>
  <si>
    <t>Address:</t>
  </si>
  <si>
    <t>Dirección:</t>
  </si>
  <si>
    <t>Staat:</t>
  </si>
  <si>
    <t>Stato:</t>
  </si>
  <si>
    <t>Country:</t>
  </si>
  <si>
    <t>Estado:</t>
  </si>
  <si>
    <t>Branche:</t>
  </si>
  <si>
    <t>Settore:</t>
  </si>
  <si>
    <t>Industry sector:</t>
  </si>
  <si>
    <t>Sector:</t>
  </si>
  <si>
    <t>Website:</t>
  </si>
  <si>
    <t>Sito web:</t>
  </si>
  <si>
    <t>Página web:</t>
  </si>
  <si>
    <t>Anzahl der MitarbeiterInnen:</t>
  </si>
  <si>
    <t>Presenza adetti</t>
  </si>
  <si>
    <t>Number of employees</t>
  </si>
  <si>
    <t>Número de trabajadores:</t>
  </si>
  <si>
    <t>Ein-Personen-Unternehmen:</t>
  </si>
  <si>
    <t>Impresa "di un collabpratore":</t>
  </si>
  <si>
    <t>Sole trader (ST) (or single-person)</t>
  </si>
  <si>
    <t>Empresas unipersonales:</t>
  </si>
  <si>
    <t>(Hinweis: Wenn ja, werden die für EPUs gültigen Werte automatisch in die Berechnung übernommen.)</t>
  </si>
  <si>
    <t>(Attenzione: se la risposta è si, I valori validi per l’impresa individuale vengono accettati automaticamente nel calcolo.)</t>
  </si>
  <si>
    <t>(Note: If yes, the values for STs will be filled in automatically for the calculation)</t>
  </si>
  <si>
    <t>(Nota: si introduce sí, entonces se aplican algunos valores automáticos en la ponderación)</t>
  </si>
  <si>
    <t>Bilanzjahr:</t>
  </si>
  <si>
    <t>bilancio anno:</t>
  </si>
  <si>
    <t>Balance year:</t>
  </si>
  <si>
    <t>Año del balance:</t>
  </si>
  <si>
    <t>ErstellerIn:</t>
  </si>
  <si>
    <t>Compilatore/trice:</t>
  </si>
  <si>
    <t>Document created by:</t>
  </si>
  <si>
    <t>Redactor del balance:</t>
  </si>
  <si>
    <t>E-Mail-Adresse:</t>
  </si>
  <si>
    <t>indirizzo mail:</t>
  </si>
  <si>
    <t>Email address:</t>
  </si>
  <si>
    <t>E-mail:</t>
  </si>
  <si>
    <t>Telefonnummer:</t>
  </si>
  <si>
    <t>numero di telefono:</t>
  </si>
  <si>
    <t>Phone number:</t>
  </si>
  <si>
    <t>Teléfono:</t>
  </si>
  <si>
    <t>BeraterIn:</t>
  </si>
  <si>
    <t>Consulente:</t>
  </si>
  <si>
    <t>Consultant:</t>
  </si>
  <si>
    <t>Consultor/a:</t>
  </si>
  <si>
    <t>E-mail address:</t>
  </si>
  <si>
    <t>Phone Number</t>
  </si>
  <si>
    <t>Kurzbeschreibung
des Unternehmens:</t>
  </si>
  <si>
    <t>Breve descrizione dell'impresa:</t>
  </si>
  <si>
    <t>Short description of Company / Organisation</t>
  </si>
  <si>
    <t>Breve descripción de la empresa:</t>
  </si>
  <si>
    <t>Sonstige Anmerkungen:</t>
  </si>
  <si>
    <t>Altre osservazioni:</t>
  </si>
  <si>
    <t>Additional comments:</t>
  </si>
  <si>
    <t>Otros comentarios:</t>
  </si>
  <si>
    <t>BERECHNUNG DER EINZELNEN THEMEN</t>
  </si>
  <si>
    <t>Calcolo dei singoli criteri</t>
  </si>
  <si>
    <t>CALCULATION OF INDIVIDUAL INDICATORS</t>
  </si>
  <si>
    <t>CÁLCULO DE CADA UNO DE LOS TEMAS</t>
  </si>
  <si>
    <t>Unternehmen</t>
  </si>
  <si>
    <t>Azienda</t>
  </si>
  <si>
    <t>Company / Organisation</t>
  </si>
  <si>
    <t>Empresa:</t>
  </si>
  <si>
    <t>Empresa</t>
  </si>
  <si>
    <t>Bilanz-Jahr</t>
  </si>
  <si>
    <t>Anno di riferimento</t>
  </si>
  <si>
    <t>Period under review</t>
  </si>
  <si>
    <r>
      <rPr>
        <sz val="11"/>
        <color indexed="8"/>
        <rFont val="Calibri"/>
        <family val="2"/>
      </rPr>
      <t xml:space="preserve">Ano </t>
    </r>
    <r>
      <rPr>
        <sz val="11"/>
        <color indexed="62"/>
        <rFont val="Calibri"/>
        <family val="2"/>
      </rPr>
      <t>do Balançao</t>
    </r>
  </si>
  <si>
    <t>BERECHNUNG DER EINZELNEN ASPEKTE</t>
  </si>
  <si>
    <t>Calcolo detagliato dei singoli aspetti</t>
  </si>
  <si>
    <t>CALCULATION OF INDIVIDUAL ASPECTS</t>
  </si>
  <si>
    <t>CÁLCULO DE CADA UNO DE LOS ASPECTOS</t>
  </si>
  <si>
    <t>CÁLCULO DETALHADO DOS ASPECTOS</t>
  </si>
  <si>
    <t>Gemeinwohl-Bilanz-Rechner</t>
  </si>
  <si>
    <t>Calcolatore del bilancio del Bene Comune</t>
  </si>
  <si>
    <t>Common Good Balance Calculator</t>
  </si>
  <si>
    <t>Calculadora del Bien Común</t>
  </si>
  <si>
    <t>Tabela de Cálculo do Balançao do Bem Comum</t>
  </si>
  <si>
    <t>BILANZSUMME:</t>
  </si>
  <si>
    <t>Somma Bilancio:</t>
  </si>
  <si>
    <t>Total Balance Score:</t>
  </si>
  <si>
    <t>Puntuación total:</t>
  </si>
  <si>
    <t>SOMA DO BALANÇO:</t>
  </si>
  <si>
    <t>Nr.</t>
  </si>
  <si>
    <t>N°</t>
  </si>
  <si>
    <t>No.</t>
  </si>
  <si>
    <t>N.º</t>
  </si>
  <si>
    <t>Berührungsgruppe</t>
  </si>
  <si>
    <t>Gruppo coinvolto</t>
  </si>
  <si>
    <t xml:space="preserve">Stakeholders </t>
  </si>
  <si>
    <t>Grupos de interés</t>
  </si>
  <si>
    <t>Berührungsgruppe/Themen/Aspekte</t>
  </si>
  <si>
    <t>Gruppo d'Interesse/Tema/Aspetto</t>
  </si>
  <si>
    <t>Stakeholders/Indicators/Criteria</t>
  </si>
  <si>
    <t>Grupo de interés / Tema / Aspecto</t>
  </si>
  <si>
    <t>Gewichtung</t>
  </si>
  <si>
    <t>Peso</t>
  </si>
  <si>
    <t>Weight</t>
  </si>
  <si>
    <t>Ponderación</t>
  </si>
  <si>
    <t>molto alto</t>
  </si>
  <si>
    <t>very high</t>
  </si>
  <si>
    <t>Muy alta</t>
  </si>
  <si>
    <t>alto</t>
  </si>
  <si>
    <t>high</t>
  </si>
  <si>
    <t>Alta</t>
  </si>
  <si>
    <t>medio</t>
  </si>
  <si>
    <t>medium</t>
  </si>
  <si>
    <t>Media</t>
  </si>
  <si>
    <t>basso</t>
  </si>
  <si>
    <t>low</t>
  </si>
  <si>
    <t>Baja</t>
  </si>
  <si>
    <t>non da considerare</t>
  </si>
  <si>
    <t>not applicable</t>
  </si>
  <si>
    <t>No aplica</t>
  </si>
  <si>
    <t>Erläuterung</t>
  </si>
  <si>
    <t>Descrizione</t>
  </si>
  <si>
    <t>Current status</t>
  </si>
  <si>
    <t>Estado actual</t>
  </si>
  <si>
    <t>Estado atual</t>
  </si>
  <si>
    <t>Verbesserungspotenzial</t>
  </si>
  <si>
    <t>Possibilità di miglioramento</t>
  </si>
  <si>
    <t>Potential for improvement</t>
  </si>
  <si>
    <t>Áreas de mejora</t>
  </si>
  <si>
    <t>Potencial de aperfeiçoamento</t>
  </si>
  <si>
    <t>Erfüll.</t>
  </si>
  <si>
    <t>Val%</t>
  </si>
  <si>
    <t>Est%</t>
  </si>
  <si>
    <t>Nivel</t>
  </si>
  <si>
    <t>Pkte</t>
  </si>
  <si>
    <t>Punti</t>
  </si>
  <si>
    <t>Points</t>
  </si>
  <si>
    <t>Punt.</t>
  </si>
  <si>
    <t>Max.</t>
  </si>
  <si>
    <t>Stakeholders/ tematiche/ aspetti</t>
  </si>
  <si>
    <t>Stakeholders/ Themes/ Aspects</t>
  </si>
  <si>
    <t>Grupo de interesse/Temas/Aspectos</t>
  </si>
  <si>
    <t>Lieferant*innen</t>
  </si>
  <si>
    <t>Fornitori</t>
  </si>
  <si>
    <t>Suppliers</t>
  </si>
  <si>
    <t>Proveedores</t>
  </si>
  <si>
    <t>FORNECEDOR*S</t>
  </si>
  <si>
    <t>Menschenwürde in der Zulieferkette</t>
  </si>
  <si>
    <t>La dignità umana lungo la catena di fornitura</t>
  </si>
  <si>
    <t>Human dignity in the supply chain</t>
  </si>
  <si>
    <t>Dignidad humana en la cadena de suministro</t>
  </si>
  <si>
    <t>Dignidade humana na cadeia de suprimentos</t>
  </si>
  <si>
    <t>Arbeitsbedingungen und gesellschaftliche Auswirkungen in der Zulieferkette</t>
  </si>
  <si>
    <t>Condizioni di lavoro e conseguenze sociali nella catena di fornitura</t>
  </si>
  <si>
    <t>Working conditions and social impact in the supply chain</t>
  </si>
  <si>
    <t>Condiciones de trabajo e impacto social en la cadena de suministro</t>
  </si>
  <si>
    <t xml:space="preserve">Condições de trabalho e impactos sociais na cadeia de suprimentos </t>
  </si>
  <si>
    <t>Negativ-Aspekt: Verletzung der Menschenwürde in der Zulieferkette</t>
  </si>
  <si>
    <t>Aspetto negativo: Violazione della dignità umana nella catena di fornitura</t>
  </si>
  <si>
    <t>Negative aspect: violation of human dignity in the supply chain</t>
  </si>
  <si>
    <t>Aspecto negativo: vulneración de la dignidad humana en la cadena de suministro</t>
  </si>
  <si>
    <t>Aspecto negativo: Violação da dignidade humana na cadeia de suprimentos</t>
  </si>
  <si>
    <t>Solidarität und Gerechtigkeit in der Zulieferkette</t>
  </si>
  <si>
    <t>Solidarietà e giustizia nella catena di fornitura</t>
  </si>
  <si>
    <t>Solidarity and social justice in the supply chain</t>
  </si>
  <si>
    <t>Justicia y solidaridad en la cadena de suministro</t>
  </si>
  <si>
    <t>Solidariedade e justiça na cadeia de suprimentos</t>
  </si>
  <si>
    <t>Faire Geschäftsbeziehungen zu direkten Lieferant*innen</t>
  </si>
  <si>
    <t>Relazioni commerciali eque nei confronti dei fornitori diretti</t>
  </si>
  <si>
    <t>Fair business practices towards direct suppliers</t>
  </si>
  <si>
    <t>Actitud ética con proveedores directos</t>
  </si>
  <si>
    <t xml:space="preserve">Relações comerciais justas com fornecedor*s diretos </t>
  </si>
  <si>
    <t>Positive Einflussnahme auf Solidarität und Gerechtigkeit in der gesamten Zulieferkette</t>
  </si>
  <si>
    <t>Influssi positivi sulla solidarietà e la giustizia lungo l'intera catena di fornitura</t>
  </si>
  <si>
    <t>Exercising a positive influence on solidarity and social justice in the supply chain</t>
  </si>
  <si>
    <t>Promoción de la justicia y la solidaridad en toda la cadena de suministro</t>
  </si>
  <si>
    <t>Influência positiva relativamente a solidariedade e justiça ao longo de toda a cadeia de suprimentos</t>
  </si>
  <si>
    <t>Negativ-Aspekt: Ausnutzung der Marktmacht gegenüber Lieferant*innen</t>
  </si>
  <si>
    <t>Aspetto negativo: Sfruttamento del potere di mercato nei confronti dei fornitori</t>
  </si>
  <si>
    <t>Negative aspect: abuse of market power against suppliers</t>
  </si>
  <si>
    <t>Aspecto negativo: abuso de poder de mercado frente a proveedores</t>
  </si>
  <si>
    <t>Aspecto negativo: Abuso do poder de mercado face a fornecedor*s</t>
  </si>
  <si>
    <t>Ökologische Nachhaltigkeit in der Zulieferkette</t>
  </si>
  <si>
    <t>Sostenibilità ecologica nella catena di fornitura</t>
  </si>
  <si>
    <t>Environmental sustainability in the supply chain</t>
  </si>
  <si>
    <t>Sostenibilidad medioambiental en la cadena de suministro</t>
  </si>
  <si>
    <t>Sustentabilidade ambiental na cadeia de suprimentos</t>
  </si>
  <si>
    <t>Umweltauswirkungen in der Zulieferkette</t>
  </si>
  <si>
    <t>Conseguenze ambientali lungo la catena di fornitura</t>
  </si>
  <si>
    <t>Environmental impact throughout the supply chain</t>
  </si>
  <si>
    <t>Impacto medioambiental en la cadena de suministro</t>
  </si>
  <si>
    <t>Impacto ambiental na cadeia de suprimentos</t>
  </si>
  <si>
    <t>Negativ-Aspekt:Unverhältnismäßig hohe Umweltauswirkungen in der Zulieferkette</t>
  </si>
  <si>
    <t>Aspetto negativo: Conseguenze ambientali sproporzionatamente elevate lungo la catena di fornitura</t>
  </si>
  <si>
    <t>Negative aspect: disproportionate environmental impact throughout the supply chain</t>
  </si>
  <si>
    <t>Aspecto negativo: impacto medioambiental desproporcionado en la cadena de suministro</t>
  </si>
  <si>
    <t>Aspecto negativo: Impactos ambientais proporcionalmente altos na cadeia de suprimentos</t>
  </si>
  <si>
    <t>Transparenz und Mitentscheidung in der Zulieferkette</t>
  </si>
  <si>
    <t>Trasparenza e condivisione delle decisioni lungo la catena di fornitura</t>
  </si>
  <si>
    <t>Transparency &amp; co-determination in the supply chain</t>
  </si>
  <si>
    <t>Transparencia y participación democrática en la cadena de suministro</t>
  </si>
  <si>
    <t>Transparência e co-decisão na cadeia de suprimentos</t>
  </si>
  <si>
    <t>Transparenz und Mitentscheidungsrechte für Lieferant*innen</t>
  </si>
  <si>
    <t>Trasparenza e diritti di condivisione delle decisioni per i fornitori</t>
  </si>
  <si>
    <t>Transparency towards suppliers and their right to co-determination</t>
  </si>
  <si>
    <t>Transparencia y participación democrática de los proveedores</t>
  </si>
  <si>
    <t>Transparência e direitos de co-decisão para fornecedor*s</t>
  </si>
  <si>
    <t>Positive Einflussnahme auf Transparenz und Mitentscheidung in der gesamten Zulieferkette</t>
  </si>
  <si>
    <t>Influssi positivi sulla trasparenza e la condivisione delle decisioni lungo l'intera catena di fornitura</t>
  </si>
  <si>
    <t>Positive influence on transparency and co-determination throughout the supply chain</t>
  </si>
  <si>
    <t>Promoción de la transparencia y participación democrática en toda la cadena de suministro</t>
  </si>
  <si>
    <t>Influência positiva relativamente a transparência e co-decisão ao longo de toda a cadeia de suprimentos</t>
  </si>
  <si>
    <t>Eigentümer*innen und Finanzpartner*innen</t>
  </si>
  <si>
    <t>Proprietari &amp; partner finanziari</t>
  </si>
  <si>
    <t>Owners, equity- and financial service providers</t>
  </si>
  <si>
    <t>Propietarios y proveedores financieros</t>
  </si>
  <si>
    <t>PROPRIETÁRI*S &amp; PARCEIR*S DE NEGÓCIO</t>
  </si>
  <si>
    <t>Ethische Haltung im Umgang mit Geldmitteln</t>
  </si>
  <si>
    <t>Atteggiamento etico nell'impiego di fondi</t>
  </si>
  <si>
    <t>Ethical position in relation to financial resources</t>
  </si>
  <si>
    <t>Actitud ética en la gestión de recursos financieros</t>
  </si>
  <si>
    <t xml:space="preserve">Atitude ética na gestão de recursos financeiros </t>
  </si>
  <si>
    <t>Finanzielle Unabhängigkeit durch Eigenfinanzierung</t>
  </si>
  <si>
    <t>Autonomia finanziaria grazie all'autofinanziamento</t>
  </si>
  <si>
    <t>Financial independence through equity financing</t>
  </si>
  <si>
    <t>Independencia financiera: autofinanciación</t>
  </si>
  <si>
    <t>Independência financeira por meio de autofinanciamento</t>
  </si>
  <si>
    <t>Gemeinwohlorientierte Fremdfinanzierung</t>
  </si>
  <si>
    <t>Finanziamento esterno orientato al bene comune</t>
  </si>
  <si>
    <t>Common Good-orientated borrowing</t>
  </si>
  <si>
    <t>Financiación externa orientada al Bien Común</t>
  </si>
  <si>
    <t>Financiamento externo por meio de instituições orientadas ao Bem Comum</t>
  </si>
  <si>
    <t>Ethische Haltung externer Finanzpartner*innen</t>
  </si>
  <si>
    <t>L'approccio etico di finanziatori esterni</t>
  </si>
  <si>
    <t>Ethical position of external financial partners</t>
  </si>
  <si>
    <t>Actitud ética de los proveedores financieros</t>
  </si>
  <si>
    <t xml:space="preserve">Atitude ética de parceir*s financeir*s extern*s </t>
  </si>
  <si>
    <t>Soziale Haltung im Umgang mit Geldmitteln</t>
  </si>
  <si>
    <t>Atteggiamento sociale nell'impiego di fondi</t>
  </si>
  <si>
    <t>Social position in relation to financial resources</t>
  </si>
  <si>
    <t>Actitud solidaria en la gestión de recursos financieros</t>
  </si>
  <si>
    <t xml:space="preserve">Atitude social na gestão de recursos financeiros </t>
  </si>
  <si>
    <t>Solidarische und gemeinwohlorientierte Mittelverwendung</t>
  </si>
  <si>
    <t>Impiego dei fondi solidale e orientato al bene comune</t>
  </si>
  <si>
    <t>Solidarity and Common Good-orientated use of funds</t>
  </si>
  <si>
    <t>Gestión de los recursos financieros de forma solidaria y orientada al Bien Común</t>
  </si>
  <si>
    <t xml:space="preserve">Alocação de recursos de forma solidária e orientada ao Bem Comum </t>
  </si>
  <si>
    <t>Negativ-Aspekt: Unfaire Verteilung von Geldmittel</t>
  </si>
  <si>
    <t>Aspetto negativo: Distribuzione iniqua di fondi</t>
  </si>
  <si>
    <t>Negative aspect: unfair distribution of funds</t>
  </si>
  <si>
    <t>Aspecto negativo: repartición injusta de los recursos financieros</t>
  </si>
  <si>
    <t xml:space="preserve">Aspecto negativo: Distribuição injusta de recursos financeiros </t>
  </si>
  <si>
    <t>Sozial-ökologische Investitionen und Mittelverwendung</t>
  </si>
  <si>
    <t>Investimenti socio-ecologici e impiego dei fondi</t>
  </si>
  <si>
    <t>Use of funds in relation to social and environmental impacts</t>
  </si>
  <si>
    <t>Inversiones financieras sostenibles y uso de los recursos financieros</t>
  </si>
  <si>
    <t xml:space="preserve">Investimentos e alocação de recursos com base em critérios sócio-ambientais </t>
  </si>
  <si>
    <t>Ökologische Qualität der Investitionen</t>
  </si>
  <si>
    <t>Qualità ecologica degli investimenti</t>
  </si>
  <si>
    <t>Environmental quality of investments</t>
  </si>
  <si>
    <t>Carácter ambiental de los recursos financieros</t>
  </si>
  <si>
    <t xml:space="preserve">Qualidade ambiental dos investimentos </t>
  </si>
  <si>
    <t>Gemeinwohlorientierte Veranlagung</t>
  </si>
  <si>
    <t>Investimento orientato al bene comune</t>
  </si>
  <si>
    <t>Common Good-orientated investment</t>
  </si>
  <si>
    <t>Inversiones orientadas al Bien Común</t>
  </si>
  <si>
    <t xml:space="preserve">Base fiscal/tributação orientada ao Bem Comum </t>
  </si>
  <si>
    <t>Negativ-Aspekt: Abhängigkeit von ökologisch bedenklichen Ressourcen</t>
  </si>
  <si>
    <t>Aspetto negativo: Dipendenza da risorse a rischio in termini ecologici</t>
  </si>
  <si>
    <t>Negative aspect: reliance on environmentally unsafe resources</t>
  </si>
  <si>
    <t>Aspecto negativo: dependencia de recursos perjudiciales para el medio ambiente</t>
  </si>
  <si>
    <t xml:space="preserve">Aspecto negativo: Dependência de recursos ambientalmente questionáveis </t>
  </si>
  <si>
    <t>Eigentum und Mitentscheidung</t>
  </si>
  <si>
    <t>Proprietà e condivisione delle decisioni</t>
  </si>
  <si>
    <t>Ownership and co-determination</t>
  </si>
  <si>
    <t>Propiedad y participación democrática</t>
  </si>
  <si>
    <t>Propriedade e co-decisão</t>
  </si>
  <si>
    <t>Gemeinwohlorientierte Eigentumsstruktur</t>
  </si>
  <si>
    <t>Struttura di proprietà orientata al bene comune</t>
  </si>
  <si>
    <t>Common Good-orientated ownership structure</t>
  </si>
  <si>
    <t>Distribución de la propiedad orientada al Bien Común</t>
  </si>
  <si>
    <t>Estrutura de propriedade orientada ao Bem Comum</t>
  </si>
  <si>
    <t>Negativ-Aspekt: Feindliche Übernahme</t>
  </si>
  <si>
    <t>Aspetto negativo: Scalata ostile</t>
  </si>
  <si>
    <t>Negative aspect: hostile takeover</t>
  </si>
  <si>
    <t>Aspecto negativo: oferta pública de adquisición (OPA) hostil</t>
  </si>
  <si>
    <t>Aspecto negativo: Aquisição hostil</t>
  </si>
  <si>
    <t>Mitarbeitende</t>
  </si>
  <si>
    <t>Collaboratori</t>
  </si>
  <si>
    <t>Employees</t>
  </si>
  <si>
    <t>Trabajadores</t>
  </si>
  <si>
    <t xml:space="preserve">COLABORADOR*S </t>
  </si>
  <si>
    <t>Menschenwürde am Arbeitsplatz</t>
  </si>
  <si>
    <t>La dignità umana sul posto di lavoro</t>
  </si>
  <si>
    <t>Human dignity in the workplace and working environment</t>
  </si>
  <si>
    <t>Dignidad humana en el puesto de trabajo</t>
  </si>
  <si>
    <t>Dignidade humana no local de trabalho</t>
  </si>
  <si>
    <t>Mitarbeiterorientierte Unternehmenskultur</t>
  </si>
  <si>
    <t>Cultura aziendale orientata ai collaboratori</t>
  </si>
  <si>
    <t>Employee-focused organisational culture</t>
  </si>
  <si>
    <t>Cultura empresarial orientada a las personas</t>
  </si>
  <si>
    <t>Cultura corporativa orientada aos/às colaborador*s</t>
  </si>
  <si>
    <t>Gesundheitsförderung und Arbeitsschutz</t>
  </si>
  <si>
    <t xml:space="preserve">Promozione della salute e protezione sul posto di lavoro </t>
  </si>
  <si>
    <t>Health promotion and occupational health and safety</t>
  </si>
  <si>
    <t>Promoción de la salud y seguridad en el trabajo</t>
  </si>
  <si>
    <t>Promoção da saúde e da segurança ocupacional</t>
  </si>
  <si>
    <t>Diversität und Chancengleichheit</t>
  </si>
  <si>
    <t>Diversità e pari opportunità</t>
  </si>
  <si>
    <t>Diversity and equal opportunities</t>
  </si>
  <si>
    <t>Diversidad e igualdad de oportunidades</t>
  </si>
  <si>
    <t>Diversidade e igualdade de oportunidades</t>
  </si>
  <si>
    <t>Negativ-Aspekt: Menschenunwürdige Arbeitsbedingungen</t>
  </si>
  <si>
    <t>Aspetto negativo: Condizioni di lavoro disumane</t>
  </si>
  <si>
    <t>Negative aspect: unfit working conditions</t>
  </si>
  <si>
    <t>Aspecto negativo: condiciones de trabajo indignas</t>
  </si>
  <si>
    <t xml:space="preserve">Aspecto negativo: Condições de trabalho que ferem a dignidade humana </t>
  </si>
  <si>
    <t>Ausgestaltung der Arbeitsverträge</t>
  </si>
  <si>
    <t>Self-determined working arrangements</t>
  </si>
  <si>
    <t>Formalidad de los contratos de trabajo</t>
  </si>
  <si>
    <t>Configuração dos contratos de trabalho</t>
  </si>
  <si>
    <t>Ausgestaltung des Verdienstes</t>
  </si>
  <si>
    <t>Strutturazione del guadagno</t>
  </si>
  <si>
    <t>Pay structure</t>
  </si>
  <si>
    <t>Formalidad y estructura salarial</t>
  </si>
  <si>
    <t xml:space="preserve">Configuração da remuneração </t>
  </si>
  <si>
    <t>Ausgestaltung der Arbeitszeit</t>
  </si>
  <si>
    <t>Organizzazione dell'orario di lavoro</t>
  </si>
  <si>
    <t>Structuring working time</t>
  </si>
  <si>
    <t>Formalidad en el horario laboral</t>
  </si>
  <si>
    <t>Configuração do horário de trabalho</t>
  </si>
  <si>
    <t>Ausgestaltung des Arbeitsverhältnisses und Work-Life-Balance</t>
  </si>
  <si>
    <t>Organizzazione del rapporto di lavoro e Work-Life-Balance</t>
  </si>
  <si>
    <t>Employment structure and work-life balance</t>
  </si>
  <si>
    <t>Formalidad en las condiciones de trabajo y en la conciliación</t>
  </si>
  <si>
    <t>Configuração das condições de trabalho, equilíbrio entre vida profissional e familiar</t>
  </si>
  <si>
    <t>Negativ-Aspekt: Ungerechte Ausgestaltung der Arbeitsverträge</t>
  </si>
  <si>
    <t>Aspetto negativo: Strutturazione ingiusta dei contratti di lavoro</t>
  </si>
  <si>
    <t>Negative aspect: unfair employment contracts</t>
  </si>
  <si>
    <t>Aspecto negativo: contratos de trabajo injustos</t>
  </si>
  <si>
    <t xml:space="preserve">Aspecto negativo: Configuração injusta dos contratos de trabalho </t>
  </si>
  <si>
    <t>Förderung des ökologischen Verhaltens der Mitarbeitenden</t>
  </si>
  <si>
    <t>Promozione del comportamento ecologico dei collaboratori</t>
  </si>
  <si>
    <t>Environmentally-friendly behaviour of staff</t>
  </si>
  <si>
    <t>Promoción de la responsabilidad medioambiental de los trabajadores</t>
  </si>
  <si>
    <t>Promoção de condutas sustentáveis entre colaborador*s</t>
  </si>
  <si>
    <t>Ernährung während der Arbeitszeit</t>
  </si>
  <si>
    <t>L'alimentazione durante l'orario di lavoro</t>
  </si>
  <si>
    <t>Food during working hours</t>
  </si>
  <si>
    <t>Alimentación durante la jornada laboral</t>
  </si>
  <si>
    <t xml:space="preserve">Alimentação durante o horário de trabalho </t>
  </si>
  <si>
    <t>Mobilität zum Arbeitsplatz</t>
  </si>
  <si>
    <t>Mobilità sul posto di lavoro</t>
  </si>
  <si>
    <t>Travel to work</t>
  </si>
  <si>
    <t>Movilidad sostenible al puesto de trabajo</t>
  </si>
  <si>
    <t>Mobilidade para o local de trabalho</t>
  </si>
  <si>
    <t>Organisationskultur, Sensibilisierung und unternehmensinterne Prozesse</t>
  </si>
  <si>
    <t>Cultura organizzativa, sensibilizzazione all'organizzazione ecologica dei processi</t>
  </si>
  <si>
    <t>Organisational culture, cultivating awareness for an environmentally-friendly approach</t>
  </si>
  <si>
    <t>Cultura empresarial sostenible y sensibilización con el medio ambiente</t>
  </si>
  <si>
    <t xml:space="preserve">Cultura organizacional, sensibilização e processos internos da empresa </t>
  </si>
  <si>
    <t>Negativ-Aspekt: Anleitung zur Verschwendung / Duldung unökologischen Verhaltens</t>
  </si>
  <si>
    <t>Aspetto negativo: Guida allo spreco / Tolleranza di comportamenti non ecologici</t>
  </si>
  <si>
    <t>Negative aspect: guidance on waste/ environmentally damaging practices</t>
  </si>
  <si>
    <t>Aspecto negativo: promoción y tolerancia frente a la actitud medioambiental no responsable</t>
  </si>
  <si>
    <t xml:space="preserve">Aspecto negativo: Orientação ao desperdício / tolerância de condutas ecologicamente nocivas </t>
  </si>
  <si>
    <t>Condivisione delle decisioni e trasparenza in azienda</t>
  </si>
  <si>
    <t>Co-determination and transparency within the organisation</t>
  </si>
  <si>
    <t>Transparencia y participación democrática interna</t>
  </si>
  <si>
    <t>Co-decisão e transparência no âmbito da empresa</t>
  </si>
  <si>
    <t>Innerbetriebliche Transparenz</t>
  </si>
  <si>
    <t>Trasparenza in azienda</t>
  </si>
  <si>
    <t>Transparency within the organisation</t>
  </si>
  <si>
    <t>Transparencia interna</t>
  </si>
  <si>
    <t>Transparência interna</t>
  </si>
  <si>
    <t>Legitimierung der Führungskräfte</t>
  </si>
  <si>
    <t>Legittimazione dei dirigenti</t>
  </si>
  <si>
    <t>Legitimation of the management</t>
  </si>
  <si>
    <t>Legitimación de la dirección</t>
  </si>
  <si>
    <t>Legitimação dos líderes</t>
  </si>
  <si>
    <t>Mitentscheidung der Mitarbeitenden</t>
  </si>
  <si>
    <t>Condivisione delle decisioni da parte dei collaboratori</t>
  </si>
  <si>
    <t>Employee co-determination</t>
  </si>
  <si>
    <t>Participación de los trabajadores en la toma de decisiones</t>
  </si>
  <si>
    <t xml:space="preserve">Co-decisão por parte d*s colaborador*s </t>
  </si>
  <si>
    <t>Negativ-Aspekt C4.4: Verhinderung des Betriebsrates</t>
  </si>
  <si>
    <t>Aspetto negativo: Impedimento del consiglio aziendale</t>
  </si>
  <si>
    <t>Negative aspect: obstruction of works councils</t>
  </si>
  <si>
    <t>Aspecto negativo: Impedimiento del comité de empresa</t>
  </si>
  <si>
    <t>Aspecto negativo: Impedimento da formação de Comités de Empresa</t>
  </si>
  <si>
    <t>Kund*nnen und Mitunternehmen</t>
  </si>
  <si>
    <t>Clienti &amp; concorrenti</t>
  </si>
  <si>
    <t>Customers and other companies</t>
  </si>
  <si>
    <t>Clientes y otras empresas</t>
  </si>
  <si>
    <t xml:space="preserve">CLIENTES &amp; PARCEIR*S DE NEGÓCIO </t>
  </si>
  <si>
    <t>Ethische Kund*innenbeziehungen</t>
  </si>
  <si>
    <t>Relazioni etiche con la clientela</t>
  </si>
  <si>
    <t>Ethical customer relations</t>
  </si>
  <si>
    <t>Actitud ética con los clientes</t>
  </si>
  <si>
    <t>con la clientela</t>
  </si>
  <si>
    <t>Relações éticas com clientes</t>
  </si>
  <si>
    <t>Menschenwürdige Kommunikation mit Kund*innen</t>
  </si>
  <si>
    <t>Comunicazione dignitosa con i clienti</t>
  </si>
  <si>
    <t>Respect for human dignity in communication with customers</t>
  </si>
  <si>
    <t>Comunicación transparente con los clientes</t>
  </si>
  <si>
    <t>Comunicação com clientes de forma digna</t>
  </si>
  <si>
    <t>Barrierefreiheit</t>
  </si>
  <si>
    <t>Assenza di barriere</t>
  </si>
  <si>
    <t>Barrier-free access</t>
  </si>
  <si>
    <t>Accesibilidad</t>
  </si>
  <si>
    <t xml:space="preserve">Acessibilidade </t>
  </si>
  <si>
    <t>Negativ-Aspekt: Unethische Werbemaßnahmen</t>
  </si>
  <si>
    <t>Aspetto negativo: Misure pubblicitarie non etiche</t>
  </si>
  <si>
    <t>Negative aspect: unethical advertising</t>
  </si>
  <si>
    <t>Aspecto negativo: publicidad engañosa y acciones comerciales no éticas</t>
  </si>
  <si>
    <t xml:space="preserve">Aspecto negativo: Atividades promocionais antiéticas </t>
  </si>
  <si>
    <t>Kooperation und Solidarität mit Mitunternehmen</t>
  </si>
  <si>
    <t>Cooperazione e solidarietà con i concorrenti</t>
  </si>
  <si>
    <t>Cooperation and solidarity with other companies</t>
  </si>
  <si>
    <t>Cooperación y solidaridad con otras empresas del sector</t>
  </si>
  <si>
    <t>Cooperação e solidariedade com parceir*s de negócio</t>
  </si>
  <si>
    <t>Kooperation mit Mitunternehmen</t>
  </si>
  <si>
    <t>Cooperazione con i concorrenti</t>
  </si>
  <si>
    <t>Cooperation with other companies</t>
  </si>
  <si>
    <t>Cooperación con otras empresas</t>
  </si>
  <si>
    <t>Cooperação com parceir*s de negócio</t>
  </si>
  <si>
    <t>Solidarität mit Mitunternehmen</t>
  </si>
  <si>
    <t>La solidarietà con i concorrenti</t>
  </si>
  <si>
    <t>Solidarity with other companies</t>
  </si>
  <si>
    <t>Solidaridad con otras empresas</t>
  </si>
  <si>
    <t>Solidariedade com parceir*s de negócio</t>
  </si>
  <si>
    <t>Negativ-Aspekt D2.3: Missbrauch der Marktmacht gegenüber Mitunternehmen</t>
  </si>
  <si>
    <t>Aspetto negativo: Abuso del potere di mercato nei confronti dei concorrenti</t>
  </si>
  <si>
    <t>Negative aspect: abuse of market power to the detriment of other companies</t>
  </si>
  <si>
    <t>Aspecto negativo: abuso de poder de mercado frente a otras empresas</t>
  </si>
  <si>
    <t>Aspecto negativo: Abuso do poder de mercado face a parceir*s de negócio</t>
  </si>
  <si>
    <t>Ökologische Auswirkung durch Nutzung und Entsorgung von Produkten und Dienstleistungen</t>
  </si>
  <si>
    <t>Conseguenze ecologiche dell'utilizzo e dello smaltimento di prodotti e servizi</t>
  </si>
  <si>
    <t>Impact on the environment of the use and disposal of products and services</t>
  </si>
  <si>
    <t>Impacto medioambiental del uso y de la gestión de residuos de los productos y servicios</t>
  </si>
  <si>
    <t>Impacto ambiental do uso e do descarte de produtos e serviços</t>
  </si>
  <si>
    <t>Ökologisches Kosten-Nutzen-Verhältnis von Produkten und Dienstleistungen (Effizienz und Konsistenz)</t>
  </si>
  <si>
    <t>Rapporto ecologico costi/ benefici di prodotti e servizi (efficienza e consistenza)</t>
  </si>
  <si>
    <t xml:space="preserve">Environmental cost-benefit ration of products and services (efficiency and consistency) </t>
  </si>
  <si>
    <t>Relación coste-beneficio medioambiental de productos y ervicios (eficiencia y consistencia)</t>
  </si>
  <si>
    <t>Relação custo-benefício em termos ambientais de produtos e serviços (eficiência e consistência)</t>
  </si>
  <si>
    <t>Maßvolle Nutzung von Produkten und Dienstleistungen (Suffizienz)</t>
  </si>
  <si>
    <t>Utilizzo moderato di prodotti e servizi (sufficienza)</t>
  </si>
  <si>
    <t>Moderate use of products and services (sufficiency)</t>
  </si>
  <si>
    <t>Uso moderado de productos y servicios (suficiencia)</t>
  </si>
  <si>
    <t>Utilização moderada de produtos e serviços (suficiência)</t>
  </si>
  <si>
    <t>Negativ-Aspekt: Bewusste Inkaufnahme unverhältnismäßiger, ökologischer Auswirkungen</t>
  </si>
  <si>
    <t>Aspetto negativo: Accettazione consapevole di conseguenze ecologiche spropositate</t>
  </si>
  <si>
    <t>Negative aspect: wilful disregard of disproportionate environmental impacts</t>
  </si>
  <si>
    <t>Aspecto negativo: tolerancia frente al impacto medioambiental desproporcionado y consciente</t>
  </si>
  <si>
    <t xml:space="preserve">Aspecto negativo: Tolerância consciente de impactos ambientais excessivos </t>
  </si>
  <si>
    <t>Kund*innen-Mitwirkung und Produkttransparenz</t>
  </si>
  <si>
    <t>Partecipazione dei clienti e trasparenza dei prodotti</t>
  </si>
  <si>
    <t>Customer participation and product transparency</t>
  </si>
  <si>
    <t>Participación de los clientes y transparencia de producto</t>
  </si>
  <si>
    <t>Envolvimento de clientes e transparência de produtos</t>
  </si>
  <si>
    <t>Kund*innen-Mitwirkung, gemeinsame Produktentwicklung und Marktforschung</t>
  </si>
  <si>
    <t>Partecipazione dei clienti, sviluppo comune dei prodotti e ricerca di mercato</t>
  </si>
  <si>
    <t>Customer participation, joint product development and market research</t>
  </si>
  <si>
    <t>Participación de los clientes en la toma de decisiones, desarrollo de producto e investigación de mercado</t>
  </si>
  <si>
    <t>Envolvimento de clientes, desenvolvimento de produtos e pesquisa de mercado em parceria</t>
  </si>
  <si>
    <t>Produkttransparenz</t>
  </si>
  <si>
    <t>Trasparenza dei prodotti</t>
  </si>
  <si>
    <t>Product transparency</t>
  </si>
  <si>
    <t>Transparencia de producto</t>
  </si>
  <si>
    <t>Transparência de produtos</t>
  </si>
  <si>
    <t>Negativ-Aspekt: Kein Ausweis von Gefahrenstoffen</t>
  </si>
  <si>
    <t>Aspetto negativo: Mancata indicazione di sostanze pericolose</t>
  </si>
  <si>
    <t>Negative aspect: non-disclosure of hazardous substances</t>
  </si>
  <si>
    <t>Aspecto negativo: no declaración sobre sustancias/mercancías peligrosas</t>
  </si>
  <si>
    <t>Aspecto negativo: Não-declaração de substâncias perigosas</t>
  </si>
  <si>
    <t>Gesellschaftliches Umfeld</t>
  </si>
  <si>
    <t>Contesto sociale</t>
  </si>
  <si>
    <t>Social environment</t>
  </si>
  <si>
    <t>Entorno social</t>
  </si>
  <si>
    <t xml:space="preserve">MEIO SOCIAL </t>
  </si>
  <si>
    <t>Sinn und gesellschaftliche Wirkung der Produkte und Dienstleistungen</t>
  </si>
  <si>
    <t>Senso e impatto dei prodotti e servizi sulla società</t>
  </si>
  <si>
    <t>Purpose of products and services and their effects on society</t>
  </si>
  <si>
    <t>Propósito e impacto positivo de los productos y servicios</t>
  </si>
  <si>
    <t>Sentido e impacto social dos produtos e serviços</t>
  </si>
  <si>
    <t>Produkte und Dienstleistungen decken den Grundbedarf und dienen dem guten Leben</t>
  </si>
  <si>
    <t>Prodotti e servizi coprono il fabbisogno di base e sono utili a una buona vita</t>
  </si>
  <si>
    <t>Products and services should cover basic needs and contribute to a good life</t>
  </si>
  <si>
    <t>Productos y servicios que cubren las necesidades básicas y mejoran la calidad de vida</t>
  </si>
  <si>
    <t>Produtos e serviços respondem às necessidades básicas e fomentam o bem-estar</t>
  </si>
  <si>
    <t>Gesellschaftliche Wirkung der Produkte und Dienstleistungen</t>
  </si>
  <si>
    <t>Impatto dei prodotti e servizi sulla società</t>
  </si>
  <si>
    <t>Social impact of products and services</t>
  </si>
  <si>
    <t>Impacto social de los productos y servicios</t>
  </si>
  <si>
    <t>Impacto social dos produtos e serviços</t>
  </si>
  <si>
    <t>Negativ-Aspekt: Menschenunwürdige Produkte und Dienstleistungen</t>
  </si>
  <si>
    <t>Aspetto negativo: Prodotti e servizi disumani</t>
  </si>
  <si>
    <t>Negative aspect: unethical and unfit products and services</t>
  </si>
  <si>
    <t>Aspecto negativo: productos y servicios que vulneran la dignidad humana</t>
  </si>
  <si>
    <t xml:space="preserve">Aspecto negativo: Produtos e serviços que ferem a dignidade humana </t>
  </si>
  <si>
    <t>Beitrag zum Gemeinwesen</t>
  </si>
  <si>
    <t>Contributo per la collettività</t>
  </si>
  <si>
    <t>Contribution to the community</t>
  </si>
  <si>
    <t>Contribución a la comunidad</t>
  </si>
  <si>
    <t>Contribuição para a comunidade</t>
  </si>
  <si>
    <t>Steuern und Sozialabgaben</t>
  </si>
  <si>
    <t>Imposte e oneri sociali</t>
  </si>
  <si>
    <t>Taxes and social security contributions</t>
  </si>
  <si>
    <t>Impuestos y prestaciones sociales</t>
  </si>
  <si>
    <t xml:space="preserve">Impostos e encargos sociais </t>
  </si>
  <si>
    <t>Freiwillige Beiträge zur Stärkung des Gemeinwesens</t>
  </si>
  <si>
    <t>Contributi volontari per rafforzare la collettività</t>
  </si>
  <si>
    <t>Voluntary contributions that strengthen society</t>
  </si>
  <si>
    <t>Contribución voluntaria a la comunidad</t>
  </si>
  <si>
    <t>Contribuição voluntária para o fortalecimento da comunidade</t>
  </si>
  <si>
    <t>Negativ-Aspekt: Illegitime Steuervermeidung</t>
  </si>
  <si>
    <t>Aspetto negativo: Evasione fiscale illecita</t>
  </si>
  <si>
    <t>Negative aspect: inappropriate non-payment of tax</t>
  </si>
  <si>
    <t>Aspecto negativo: elusión y evasión fiscal</t>
  </si>
  <si>
    <t xml:space="preserve">Aspecto negativo: Evasão fiscal </t>
  </si>
  <si>
    <t>Negativ-Aspekt: Mangelnde Korruptionsprävention</t>
  </si>
  <si>
    <t>Aspetto negativo: Mancata prevenzione della corruzione</t>
  </si>
  <si>
    <t>Negative aspect: no anti-corruption policy</t>
  </si>
  <si>
    <t>Aspecto negativo: falta de prevención frente a la corrupción</t>
  </si>
  <si>
    <t>Aspecto negativo: Medidas insufucientes de prevenção da corrupção</t>
  </si>
  <si>
    <t>Reduktion ökologischer Auswirkungen</t>
  </si>
  <si>
    <t>Riduzione delle conseguenze ecologiche</t>
  </si>
  <si>
    <t>Reduction of environmental impact</t>
  </si>
  <si>
    <t>Reducción del impacto medioambiental</t>
  </si>
  <si>
    <t xml:space="preserve">Redução de impactos ambientais </t>
  </si>
  <si>
    <t>Absolute Auswirkungen / Management &amp; Strategie</t>
  </si>
  <si>
    <t>Conseguenze assolute / Management &amp; strategia</t>
  </si>
  <si>
    <t>Absolute impact and management strategy</t>
  </si>
  <si>
    <t>Impacto medioambiental / Gestión y estrategia</t>
  </si>
  <si>
    <t>Impactos absolutos / Gestão &amp; Estratégia</t>
  </si>
  <si>
    <t>Relative Auswirkungen</t>
  </si>
  <si>
    <t>Conseguenze relative</t>
  </si>
  <si>
    <t>Relative impact</t>
  </si>
  <si>
    <t>Impacto relativo</t>
  </si>
  <si>
    <t>Impactos relativos</t>
  </si>
  <si>
    <t>Negativ-Aspekt: Verstöße gegen Umweltauflagen sowie unangemessene Umweltbelastungen</t>
  </si>
  <si>
    <t>Aspetto negativo: Violazioni dei requisiti ambientali e impatto inadeguato sull'ambiente</t>
  </si>
  <si>
    <t>Negative aspect: infringement of environmental regulations and disproportionate environmental pollution</t>
  </si>
  <si>
    <t>Aspecto negativo: infracción de la normativa medioambiental e impacto desproporcionado</t>
  </si>
  <si>
    <t xml:space="preserve">Aspecto negativo: Violação de exigências ambientais, bem como elevados impactos ambientais </t>
  </si>
  <si>
    <t>Transparenz und gesellschaftliche Mitentscheidung</t>
  </si>
  <si>
    <t>Trasparenza e condivisione sociale delle decisioni</t>
  </si>
  <si>
    <t>Social co-determination and transparency</t>
  </si>
  <si>
    <t>Transparencia y participación democrática del entorno social</t>
  </si>
  <si>
    <t xml:space="preserve">Transparência e participação social na tomada de decisões </t>
  </si>
  <si>
    <t>Transparenz</t>
  </si>
  <si>
    <t>Trasparenza</t>
  </si>
  <si>
    <t>Transparency</t>
  </si>
  <si>
    <t>Transparencia</t>
  </si>
  <si>
    <t>Transparência</t>
  </si>
  <si>
    <t>Gesellschaftliche Mitbestimmung</t>
  </si>
  <si>
    <t>Condivisione sociale delle decisioni</t>
  </si>
  <si>
    <t>Social participation</t>
  </si>
  <si>
    <t>Participación en la toma de decisiones el entorno social</t>
  </si>
  <si>
    <t>Participação social na tomada de decisões</t>
  </si>
  <si>
    <t>Negativ-Aspekt: Förderung von Intransparenz und bewusste Fehlinformation</t>
  </si>
  <si>
    <t>Aspetto negativo: Promozione di poca trasparenza e informazioni consapevolmente errate</t>
  </si>
  <si>
    <t>Negative aspect: lack of transparency and wilful misinformation</t>
  </si>
  <si>
    <t>Aspecto negativo: manipulación de la información y falta de transparencia</t>
  </si>
  <si>
    <t>Aspecto negativo: Promoção de intransparência e propagação de informação enganosa</t>
  </si>
  <si>
    <t>Fakten zum Unternehmen</t>
  </si>
  <si>
    <t>Fatti sull’azienda</t>
  </si>
  <si>
    <t>Company details</t>
  </si>
  <si>
    <t>Datos de la empresa</t>
  </si>
  <si>
    <t xml:space="preserve">Bitte füllen Sie die farblich markierten Felder mit Daten für den Bilanzierungszeitraum, meist das Geschäftsjahr, aus. Falls der Bilanzierungszeitraum länger als 1 Jahr ist können Sie auch ein Geschäftsjahr aus dem Bilanzierungszeitraum auswählen. Sollten dennoch keine konkreten Daten vorliegen bitte um grobe Schätzungen, da die Berechnung sonst fehlerhaft ist. </t>
  </si>
  <si>
    <t>Si prega di compilare i campi con codice colore con i dati per il periodo contabile, di solito l'anno fiscale. Se il periodo contabile supera 1 anno, è anche possibile selezionare un anno fiscale dal periodo contabile. Se non ci sono dati concreti, si prega di fornire stime approssimative, altrimenti il ​​calcolo sarà errato.</t>
  </si>
  <si>
    <t>Fill in the highlighted fields below. Where detailed information is not available, please enter estimates, otherwise the calculation will not be accurate</t>
  </si>
  <si>
    <t>Rellene los campos marcados con color. Si no dispusiera de algunos datos en concreto, estime su valor. Los datos son necesarios para que la hoja de cálculo funcione correctamente.</t>
  </si>
  <si>
    <t>bitte einfügen</t>
  </si>
  <si>
    <t>Inserisca per favore</t>
  </si>
  <si>
    <t>Please enter</t>
  </si>
  <si>
    <t>Escriba</t>
  </si>
  <si>
    <t>Bitte Auswählen</t>
  </si>
  <si>
    <t>Selezioni per favore</t>
  </si>
  <si>
    <t>Please choose</t>
  </si>
  <si>
    <t>Seleccione del catálogo</t>
  </si>
  <si>
    <t>Beschreibung des Gewichtungsmodelles</t>
  </si>
  <si>
    <t>Descrizione del modello di pesatura</t>
  </si>
  <si>
    <t>Description of the weighting model</t>
  </si>
  <si>
    <t>Descripción del método de ponderación</t>
  </si>
  <si>
    <t>Themen</t>
  </si>
  <si>
    <t>Temi</t>
  </si>
  <si>
    <t>Themes</t>
  </si>
  <si>
    <t>Temas</t>
  </si>
  <si>
    <t>Werte ►
Berührungsgruppe ▼</t>
  </si>
  <si>
    <t>Valori ►
Gruppi d‘interesse ▼</t>
  </si>
  <si>
    <t>Values ►
Stakekolders ▼</t>
  </si>
  <si>
    <t>Valores ►
Grupos deinterés ▼</t>
  </si>
  <si>
    <t>Berührungsgruppen &amp; Werte</t>
  </si>
  <si>
    <t>Gruppi d‘interesse &amp; valori</t>
  </si>
  <si>
    <t>Stakekolders &amp; values</t>
  </si>
  <si>
    <t>Grupos de interés ▼</t>
  </si>
  <si>
    <t>Allgemein</t>
  </si>
  <si>
    <t>Generale</t>
  </si>
  <si>
    <t>General</t>
  </si>
  <si>
    <t>Anmerkungen</t>
  </si>
  <si>
    <t>Note</t>
  </si>
  <si>
    <t>Notes</t>
  </si>
  <si>
    <t>Notas aclaratorias</t>
  </si>
  <si>
    <t xml:space="preserve"> (für EPUs skaliert)</t>
  </si>
  <si>
    <t xml:space="preserve"> (scalato per imprese individuali)</t>
  </si>
  <si>
    <t xml:space="preserve"> (scaled for STs)</t>
  </si>
  <si>
    <t>(ponderado para empresas unipersonales)</t>
  </si>
  <si>
    <t xml:space="preserve"> (für EPUs nicht relevant)</t>
  </si>
  <si>
    <t xml:space="preserve"> (non rilevante per imprese di un collaboratore)</t>
  </si>
  <si>
    <t xml:space="preserve"> (not relevant for STs)</t>
  </si>
  <si>
    <t>(no aplica en empresas unipersonales)</t>
  </si>
  <si>
    <t>Anmerkung: Dies ist kein Testat.</t>
  </si>
  <si>
    <t>Annotazione: Questo non è un attestato.</t>
  </si>
  <si>
    <t>Note: This is not a certificate.</t>
  </si>
  <si>
    <t>Nota: esto no es un certificado</t>
  </si>
  <si>
    <t>GEMEINWOHL-MATRIX</t>
  </si>
  <si>
    <t>MATRICE DEL BENE COMUNE</t>
  </si>
  <si>
    <t>COMMON GOOD MATRIX</t>
  </si>
  <si>
    <t>MATRIZ DEL BIEN COMÚN</t>
  </si>
  <si>
    <t xml:space="preserve"> von </t>
  </si>
  <si>
    <t xml:space="preserve"> di </t>
  </si>
  <si>
    <t>of</t>
  </si>
  <si>
    <t>de</t>
  </si>
  <si>
    <t xml:space="preserve"> Punkten</t>
  </si>
  <si>
    <t xml:space="preserve"> punti</t>
  </si>
  <si>
    <t xml:space="preserve"> points</t>
  </si>
  <si>
    <t>Menschenwürde</t>
  </si>
  <si>
    <t>Dignità umana</t>
  </si>
  <si>
    <t>Human dignity</t>
  </si>
  <si>
    <t>Dignidad humana</t>
  </si>
  <si>
    <t>Solidarität &amp; Gerechtigkeit</t>
  </si>
  <si>
    <t>Solidarietà &amp; giustizia</t>
  </si>
  <si>
    <t>Solidarity &amp; social justice</t>
  </si>
  <si>
    <t>Solidaridad y justicia</t>
  </si>
  <si>
    <t>Ökologische Nachhaltigkeit</t>
  </si>
  <si>
    <t>Sostenibilità ambientale</t>
  </si>
  <si>
    <t>Environmental sustainability</t>
  </si>
  <si>
    <t>Sostenibilidad medioambiental</t>
  </si>
  <si>
    <t>Transparenz &amp; Mitentscheidung</t>
  </si>
  <si>
    <t>Trasparenza &amp; cogestione</t>
  </si>
  <si>
    <t>Transparency &amp; co-determination</t>
  </si>
  <si>
    <t>Transparencia y participación democrática</t>
  </si>
  <si>
    <t>Gemeinwohl-Stern für</t>
  </si>
  <si>
    <t>Stella del Bene Comune per</t>
  </si>
  <si>
    <t>Common Good Star for</t>
  </si>
  <si>
    <t>Diagrama de araña de</t>
  </si>
  <si>
    <t>BILANZ-ÜBERSICHT</t>
  </si>
  <si>
    <t>QUADRO DEL BILANCIO</t>
  </si>
  <si>
    <t>BALANCE OVERVIEW</t>
  </si>
  <si>
    <t>VISTA GLOBAL DEL BALANCE</t>
  </si>
  <si>
    <t>MITBESTIMMUNG UND TRANSPARENZ</t>
  </si>
  <si>
    <t>COGESTIONE E TRASPARENZA</t>
  </si>
  <si>
    <t>TRANSPARENCY &amp; CO-DETERMINATION</t>
  </si>
  <si>
    <t>TRANSPARENCIA Y PARTICIPACIÓN DEMOCRÁTICA</t>
  </si>
  <si>
    <t>MENSCHENWÜRDE</t>
  </si>
  <si>
    <t>DIGNITA’ UMANA</t>
  </si>
  <si>
    <t>HUMAN DIGNITY</t>
  </si>
  <si>
    <t>DIGNIDAD HUMANA</t>
  </si>
  <si>
    <t>SOLIDARITÄT</t>
  </si>
  <si>
    <t>SOLIDARIETA’</t>
  </si>
  <si>
    <t>SOLIDARITY</t>
  </si>
  <si>
    <t>SOLIDARIDAD</t>
  </si>
  <si>
    <t>ÖKOLOGISCHE NACHHALTIGKEIT</t>
  </si>
  <si>
    <t>SOSTENIBILITA’ AMBIENTALE</t>
  </si>
  <si>
    <t>ENVIRONMENTAL SUSTAINABILITY</t>
  </si>
  <si>
    <t>SOSTENIBILIDAD MEDIOAMBIENTAL</t>
  </si>
  <si>
    <t>SOZIALE GERECHTIGKEIT</t>
  </si>
  <si>
    <t>GIUSTIZIA SOCIALE</t>
  </si>
  <si>
    <t>SOCIAL JUSTICE</t>
  </si>
  <si>
    <t>JUSTICIA SOCIAL</t>
  </si>
  <si>
    <t>SUMME</t>
  </si>
  <si>
    <t>SOMMA</t>
  </si>
  <si>
    <t>TOTAL</t>
  </si>
  <si>
    <t>(für EPUs skaliert)</t>
  </si>
  <si>
    <t>(valori scalati per l’impresa di 1 persona)</t>
  </si>
  <si>
    <t>(scaled for STs)</t>
  </si>
  <si>
    <t>Dokumentation der Bewertung</t>
  </si>
  <si>
    <t>Documentazione della valutazione</t>
  </si>
  <si>
    <t>Documentation of assessment</t>
  </si>
  <si>
    <t>Documentación de la puntuación</t>
  </si>
  <si>
    <t>Selbsteinschätzung</t>
  </si>
  <si>
    <t>Valutazione propria</t>
  </si>
  <si>
    <t>Self-assessment</t>
  </si>
  <si>
    <t>Autoevaluación</t>
  </si>
  <si>
    <t>Peer-Evaluation</t>
  </si>
  <si>
    <t>Valutazione peer</t>
  </si>
  <si>
    <t>Peer-assessment</t>
  </si>
  <si>
    <t>Evaluación peer</t>
  </si>
  <si>
    <t>Provisorische Bewertung des externen Audits</t>
  </si>
  <si>
    <t>Valutazione esterna bozza</t>
  </si>
  <si>
    <t>Provisional audit assessment</t>
  </si>
  <si>
    <t>Puntuación provisional de la auditoría externa</t>
  </si>
  <si>
    <t>Definitive Bewertung externen Audits /Peer</t>
  </si>
  <si>
    <t>Valutazione definitiva audit esterno/Peer</t>
  </si>
  <si>
    <t>Agreed audit assessment</t>
  </si>
  <si>
    <t>Puntuación definitiva de la auditoría externa/Peer</t>
  </si>
  <si>
    <t>Passwort für den Schutz der Tabellen: „ebc“</t>
  </si>
  <si>
    <t>Password per la protezione delle tabelle: „ebc“</t>
  </si>
  <si>
    <t>Password for EXCEL sheet protection "ebc"</t>
  </si>
  <si>
    <t>Contraseña de esta hoja de cálculo: “ebc”</t>
  </si>
  <si>
    <t>alta</t>
  </si>
  <si>
    <t>media</t>
  </si>
  <si>
    <t>baja</t>
  </si>
  <si>
    <t>non applicabile</t>
  </si>
  <si>
    <t>non applicable</t>
  </si>
  <si>
    <t>no aplica</t>
  </si>
  <si>
    <t xml:space="preserve">Werte-Stern für </t>
  </si>
  <si>
    <t xml:space="preserve">Stella dei valori per </t>
  </si>
  <si>
    <t xml:space="preserve">Values star for </t>
  </si>
  <si>
    <t>Diagrama de araña. Valores de</t>
  </si>
  <si>
    <t xml:space="preserve">Gruppen-Stern für </t>
  </si>
  <si>
    <t xml:space="preserve">Stella dei gruppi per </t>
  </si>
  <si>
    <t xml:space="preserve">Group star for </t>
  </si>
  <si>
    <t>Diagrama de araña. Grupos de interés de</t>
  </si>
  <si>
    <t xml:space="preserve">Themen-Stern für </t>
  </si>
  <si>
    <t xml:space="preserve">Stella dei temi per </t>
  </si>
  <si>
    <t xml:space="preserve">Theme star for </t>
  </si>
  <si>
    <t>Diagrama de araña. Temas de</t>
  </si>
  <si>
    <t>Die für alle Unternehmen gleiche und starre Punkteverteilung in der Matrix hat in den vergangenen Jahren innerhalb des Matrix-Entwicklungs-Team (MET) für viele Diskussionen gesorgt. Auch von außerhalb sind viele Fragen und kritische Rückmeldungen an uns herangetragen worden. Bislang war die Punkteverteilung auf die Themen mit Ausnahme von Ein-Personen-Unternehmen für alle Unternehmen gleich - unabhängig von der Unternehmensgröße, Branche und anderen Rahmenbedingungen (regionaler Hintergrund, B2B versus B2C, etc.). Relevanz und WirkungImpact auf das Gemeinwohl sind jedoch von diesen Determinanten nicht unabhängig. Beispielsweise ist die Lieferkette eines Elektronik-Handelsunternehmen (A1-A4) weitaus bedeutender als für ein Bergbauunternehmen, welches wiederum u.a. sehr große Effekte bei seinen direkten ökologischen Auswirkungen hat (E3). Das neue Gewichtungsmodell soll diesen Gedanken Rechnung tragen und die wesentlichen Faktoren stärker akzentuieren. Im Prozess wurden Meinungen der Bewegung im Rahmen einer Umfrage eingeholt und eine klare Präferenz für eine neue Herangehensweise rückgemeldet.</t>
  </si>
  <si>
    <t>La stessa distribuzione di punti nella matrice, che è la stessa per tutte le imprese, ha suscitato molto dibattito all'interno del Gruppo di Sviluppo della Matrice (GSM) negli ultimi anni. Anche dall'esterno molte domande e feedback critici ci sono stati portati. Fino ad ora, la distribuzione dei punti sui problemi con l'eccezione di imprese individuali stesse per tutte le aziende - indipendentemente dalle dimensioni dell'azienda, l'industria, e le altre condizioni (di fondo regionale, B2B B2C contro, etc.). Rilevanza e impatto L'impatto sul bene comune, tuttavia, non è indipendente da questi fattori determinanti. Ad esempio, la catena di approvvigionamento di una società commerciale di elettronica (A1-A4) è molto più significativa che per una società mineraria, che a ha effetti molto grandi sul suo impatto ambientale diretto (E3). Il nuovo modello di ponderazione dovrebbe riflettere questa idea e accentuare maggiormente i fattori chiave. Durante il processo, le opinioni sul movimento sono state raccolte attraverso un sondaggio e una chiara preferenza per un nuovo approccio è stata confermata.</t>
  </si>
  <si>
    <t xml:space="preserve">The allocation of equal and fixed scores for all companies has been the subject of much discussion within the Matrix-development team during the past few years. Outside sources have also raised many questions and provided feedback. Untill now, the way points are distributed for themes has been the same for all companies (with the exception of one-person companies), regardless of company size, industry and other parameters (regional background, B2B versus B2C, etc.). However, these variables may well have an effect on the relevance to and effect on the common good.For example, the supply chain of an electronics trading company (A1-A4) is more significant than for a mining company, which, in turn, leaves a huge, direct environmental impact, amongst other things (E3). The new weighting model addresses these issues and highlights the significant factors. A survey on the changes was conducted, with feedback clearly favouring a new approach. </t>
  </si>
  <si>
    <t>La distribución de la puntuación entre los diferentes temas era igual para cualquier tipo de empresas hasta esta versión. Esta cuestión ha sido debatida en el equipo de desarrollo de la matriz en los últimos años. También hemos recibido muchas preguntas y críticas desde fuera a este respecto. Hasta ahora, la distribución de puntuación era para todas las empresas igual, excepto para empresas unipersonales, independientemente del tamaño de la empresa, el sector y otros factores (región, B2B o B2C, etc.) Sin embargo, la relevancia y el impacto en el Bien Común no son independientes de estas variables. Por ejemplo, si una empresa tiene una cadena de suministro en el sector de la electrónica tendrá mayor relevancia lo relevativo a los temas A1 – A4 que la industria minera, que sin embargo tendrá mucha relevancia en los impactos ambientales directos, tratados en E3. El nuevo método de ponderación tiene en cuenta estas cuestiones y acentúa la importancia de los factores fundamentales. Dentro de este proceso se recopilaron las opiniones del movimiento en una encuesta que dio como resultado una preferencia clara por tratar este tema con un nuevo método.</t>
  </si>
  <si>
    <t xml:space="preserve">Bei der Gewichtung der 3 Berührungsgruppen A) LieferantInnen, B) InvestorenInnen und C) MitarbeiterInnen werden die Finanzströme zu diesen Berührungsgruppen zur Gewichtung herangezogen: A) Beschaffungsausgaben, B) Gewinn und Finanzierungskosten C) Löhne und Gehälter. Wir sind uns der limitierten Aussagekraft monetärer Größen bewusst und haben auch Ideen, wie dies in Zukunft verbessert werden kann. Gleichzeitig sind diese Zahlen in der  Finanzbilanzen der Unternehmen vorhanden, somit leicht verfügbar und kommen dem Bedürfnis vieler Unternehmen nach Einfachheit nach. Da in den Beschaffungskosten Steuern und Finanzierungskosten entahlten fliessen diese nur zu 50% in die Gewichtung ein. </t>
  </si>
  <si>
    <t>Quando ponderate i 3 gruppi di contatto A) Fornitori, B) Investitori e C) Dipendenti, i flussi finanziari verso questi gruppi tattili sono ponderati come segue: A) Spese di approvvigionamento, B) Costi di profitto e di finanziamento C) Retribuzioni. Siamo consapevoli della validità limitata delle risorse monetarie e abbiamo anche idee su come migliorarle in futuro. Allo stesso tempo, queste cifre sono presenti nei conti finanziari delle aziende, quindi facilmente disponibili e soddisfano le esigenze di molte aziende per semplicità. Poiché le tasse e i costi di finanziamento erano inclusi nei costi di approvvigionamento, questi rappresentavano solo il 50% della ponderazione.</t>
  </si>
  <si>
    <t>For the weighting of three stakeholder groups, A) suppliers, B) investors and C) employees, the matrix takes into account the following financial flows to these stakeholders: A) procurement expenditure, B) profit and borrowing costs C) wages and salaries. We are aware of the limited significance attached to money in the current matrix and have plans for how this can be improved in the future. At the same time, this information is readily available in companies' financial balance sheets, and easily meets the needs of many companies. Since taxes and borrowing costs are included in procurement expenditure, these account for only 50% of the weighting.</t>
  </si>
  <si>
    <t>En la ponderación de los grupos de interés A) Proveedores, B) Inversores y socios financieros y C) Trabajadores se toman como referencia los flujos financieros. Para A) los gastos en compras, para B) beneficios y costes financieros y para C) la remuneración. Somos conscientes de las limitaciones que presenta el basar esta ponderación en valores monetarios, y por eso estamos desarrollando ideas de como puede mejorarse en el futuro. Por otro lado, los datos requeridos se encuentran en los balances financieros de las empresas, con lo que son datos fácilmente disponibles, siendo más sencillo para las empresas. Como en los gastos de proveedores también se encuentran los impuestos y costes financieros, sólo se tiene en cuenta el 50% de este valor a la hora de hacer la ponderación.</t>
  </si>
  <si>
    <t>Auf Ebene der Themen gibt es ebenfalls Kriterien die zur Gewichtung herangezogen werden, beispielsweise Größe oder Branche eines Unternehmen oder Arbeitsrechtslage von Ländern. Für die Branchendefinition wenden wir den International Standard Industrial Classification of All Economic Activities (ISIC Rev.4) der Vereinten Nationen an. Für die Größeneinstufung wird die EU Definition herangezogen. Die nachstehende Tabelle fasst gegenwärtige Gewichtungsfaktoren zusammen (Stand Mai 2017).</t>
  </si>
  <si>
    <t>A livello di argomenti ci sono anche i criteri che vengono utilizzati per ponderazione, come la dimensione o il settore di una situazione aziendale o di lavoro i diritti dei paesi. Per la definizione del settore, utilizziamo la classificazione internazionale standard internazionale delle Nazioni Unite di tutte le attività economiche (ISIC Rev.4). La classificazione delle taglie si basa sulla definizione UE. La tabella seguente riepiloga i fattori di ponderazione correnti (a partire da maggio 2017).</t>
  </si>
  <si>
    <t>There are also criteria for the weighting of the themes, for example a company's size or industry or the relevant local employment law. The United Nations' International Standard Industrial Classification of All Economic Activities (ISIC Rev.4) is used for all industry sector definitions. For size classification, definitions as set out by the EU are used. The table below summarises the current weighting factors (as at May 2017):</t>
  </si>
  <si>
    <t xml:space="preserve">En la ponderación de los temas también se tienen en cuenta criterios específicos, como por ejemplo el tamaño, el sector o la región. Para la definición de sectores utilizamos la Clasificación Internacional Industrial Uniforme (ISIC Rev. 4 por sos siglas en inglés) de las naciones unidas. En cuanto al tamaño se utiliza la definición de la UE. La siguiente tabla muestra los factores de ponderación actuales (Mayo 2017) </t>
  </si>
  <si>
    <t>Die Gewichtung dieses Thema’s ist abhängig von den sozialen Risiken der Zulieferbranchen</t>
  </si>
  <si>
    <t>La ponderazione di questo tema dipende dai rischi sociali del settore dei fornitori</t>
  </si>
  <si>
    <t>The weighting of this theme is dependent on the social risks of the supplier's sector.</t>
  </si>
  <si>
    <t>La ponderación de este tema depende de los riesgos sociales en la cadena de suministro.</t>
  </si>
  <si>
    <t>Die Gewichtung dieses Thema’s ist abhängig vom ökologischen Effekt der Branche des Lieferanten (siehe Tabellenblatt “Industry”)</t>
  </si>
  <si>
    <t>La ponderazione di questo tema dipende dall'effetto ecologico dell'impresa del fornitore (vedi foglio "impresa")</t>
  </si>
  <si>
    <t>The weighting of this theme is dependent on the environmental effect of the supplier's sector (see sheet “Industry").</t>
  </si>
  <si>
    <t>La ponderación de este tema depende de los impactos medioambientales del sector al que pertenecen sus proveedores (veáse la hoja “Industry”)</t>
  </si>
  <si>
    <t>Die Gewichtung dieses Thema’s ist abhängig von den Mitbestimmungsrechte in den Ländern der wichtigsten Zulieferbranchen (basierend auf dem ITUC-Index der International Trade Union Confederation)</t>
  </si>
  <si>
    <t>La ponderazione di questo tema dipende dai diritti di partecipazione nei paesi dei settori di approvvigionamento più importanti (in base alla CSI-indice della Confederazione internazionale dei sindacati)</t>
  </si>
  <si>
    <t>The weighting of this theme is dependent on co-determination rights in the countries of the most important supply industries (based on the ILUC index of the International Labour Union).</t>
  </si>
  <si>
    <t>La ponderación de este tema depende de los derechos de participación democrática en los países de los proveedores más importantes (basado en el índice que elabora la confederación sindical internacional ITUC)</t>
  </si>
  <si>
    <t>Die Gewichtung dieses Thema’s ist abhängig von der Relation Umsatz zu Bilanzsumme</t>
  </si>
  <si>
    <t>La ponderazione di questo argomento dipende dalla relazione tra fatturato e totale del bilancio</t>
  </si>
  <si>
    <t>The weighting of this theme depends on the ratio turnover to the balance sheet total.</t>
  </si>
  <si>
    <t>La ponderación de este tema depende del cociente Facturación / Balance (financiero)</t>
  </si>
  <si>
    <t xml:space="preserve">Die Gewichtung dieses Thema’s ist abhängig von der Relation Gewinn zu Umsatz </t>
  </si>
  <si>
    <t>La ponderazione di questo argomento dipende dalla relazione tra utile e fatturato</t>
  </si>
  <si>
    <t>The weighting of this theme depends on the ratio profit to turnover</t>
  </si>
  <si>
    <t xml:space="preserve">La ponderación de este tema depende del cociente beneficio neto / facturación </t>
  </si>
  <si>
    <t>Die Gewichtung dieses Thema’s ist abhängig  Zugängen zum Anlagevermögen und Finanzvermögen in Relation zu der Bilanzsumme</t>
  </si>
  <si>
    <t>La ponderazione di questo tema dipende dalle aggiunte alle attività e alle attività finanziarie in relazione al totale del bilancio</t>
  </si>
  <si>
    <t>The weighting of this theme is dependent on additions to fixed-assets and financial assets in relation to the balance sheet total.</t>
  </si>
  <si>
    <t>La ponderación de este tema depende del cociente de las altas de activos fijos y financieros en relación al balance (financiero)</t>
  </si>
  <si>
    <t>Die Gewichtung dieses Thema’s ist abhängig von der Größe des Unternehmens</t>
  </si>
  <si>
    <t>La ponderazione di questo tema dipende dalle dimensioni dell'impresa</t>
  </si>
  <si>
    <t>The weighting of this theme is dependent on the size of the company.</t>
  </si>
  <si>
    <t>La ponderación de este tema depende del tamaño de la empresa</t>
  </si>
  <si>
    <t>Die Gewichtung dieses Thema’s ist abhängig von der Existenz einer Kantine für die Mehrheit der Mitarbeiter*innen sowie dem (geschätzten) durchschnittlichen Anfahrtsweg zur Arbeit.</t>
  </si>
  <si>
    <t>La ponderazione di questo tema dipende dall'esistenza di una mensa per la maggior parte dei dipendenti e dal viaggio medio (stimato) fino al lavoro.</t>
  </si>
  <si>
    <t xml:space="preserve">The weighting of this theme is dependent on the existence of a canteen for most of the employees as well as an (estimated) average commute to work. </t>
  </si>
  <si>
    <t>La ponderación de este tema depende de si la empresa tiene cantina a disposición de la mayoría de los trabajadores así como del trayecto medio (estimado) al puesto de trabajo.</t>
  </si>
  <si>
    <t>Die Gewichtung dieses Thema’s ist abhängig von der Größe des Unternehmens sowie von den Mitbestimmungsrechte in den Ländern der wichtigsten Standorte (basierend auf dem ITUC-Index der International Labour Union)</t>
  </si>
  <si>
    <t>La ponderazione di questo tema dipende dalle dimensioni dell'impresa e dai diritti di partecipazione nei paesi delle sedi più importanti (in base all'indice ITUC dell'International Labour Union)</t>
  </si>
  <si>
    <t>The weighting of this theme is dependent on company size and co-determination rights in the countries of the most important supply industries (based on the ILUC index of the International Labour Union).</t>
  </si>
  <si>
    <t>La ponderación de este tema depende tanto del tamaño de la empresa como de los derechos de participación democrática en los países más importantes donde se encuentra la empresa presente (basado en el índice que elabora la confederación internacional sindical ITUC)</t>
  </si>
  <si>
    <t xml:space="preserve">Die Gewichtung dieses Thema’s ist abhängig von der Branche </t>
  </si>
  <si>
    <t>La ponderazione di questo tema dipende dal settore</t>
  </si>
  <si>
    <t>The weighting of this theme depends on the industry sector.</t>
  </si>
  <si>
    <t>La ponderación de este tema depende del sector de la empresa</t>
  </si>
  <si>
    <t>Die Gewichtung dieses Thema’s ist abhängig davon, ob Kund*innen in erster Linie Private oder Unternehmen sind</t>
  </si>
  <si>
    <t>La ponderazione di questo tema dipende dal fatto che i clienti siano principalmente privati o imprese</t>
  </si>
  <si>
    <t>The weighting of this theme depends on whether customers are primarily individuals or companies.</t>
  </si>
  <si>
    <t>La ponderación de este tema depende de si la empresa es principalmente B2B o B2C</t>
  </si>
  <si>
    <t>Die Gewichtung dieses Thema’s ist abhängig von der Umsatzrentabilität (Gewinn/Umsatz)</t>
  </si>
  <si>
    <t>La ponderazione di questo tema dipende dal rendimento delle vendite (profitti / fatturato)</t>
  </si>
  <si>
    <t>The weighting of this theme is dependent on the return on sales (profit/turnover).</t>
  </si>
  <si>
    <t>La ponderación de este tema depende de la rentabilidad de la empresa entendida como Beneficios / Facturación</t>
  </si>
  <si>
    <t>Die Gewichtung dieses Thenma’s ist abhängig von der Branche</t>
  </si>
  <si>
    <t>Die Gewichtung dieses Thema’s ist abhängig von der Größe sowie der Branche des Unternehmens.</t>
  </si>
  <si>
    <t>La ponderazione di questo tema dipende dalle dimensioni sia del settore che dell’impresa.</t>
  </si>
  <si>
    <t>The weighting of this theme depends on the company size and the industry sector.</t>
  </si>
  <si>
    <t>La ponderación de este tema depende tanto del tamaño de la empresa como del sector.</t>
  </si>
  <si>
    <t>A - Landwirtschaft, Forstwirtschaft und Fischerei</t>
  </si>
  <si>
    <t>A-AGRICOLTURA, SILVICOLTURA E PESCA</t>
  </si>
  <si>
    <t>A - agriculture, forestry management, fishing industry</t>
  </si>
  <si>
    <t>A – Agricultura, silvicultura y pesca</t>
  </si>
  <si>
    <t>B - Bergbau und Gewinnung von Steinen und Erden</t>
  </si>
  <si>
    <t>B-ATTIVITÀ ESTRATTIVA</t>
  </si>
  <si>
    <t>B - Mining and quarrying</t>
  </si>
  <si>
    <t>B – Explotación de minas y canteras</t>
  </si>
  <si>
    <t>C - Verarbeitendes Gewerbe (nicht weiter spezifiziert)</t>
  </si>
  <si>
    <t>C-ATTIVITÀ MANIFATTURIERE</t>
  </si>
  <si>
    <t>C - Manufacturing industries (not further specified)</t>
  </si>
  <si>
    <t>C – Indutrias manufactureras</t>
  </si>
  <si>
    <t>Ca - Produktion von Lebensmittel, Getränken und Tabak (C10,C11,C12)</t>
  </si>
  <si>
    <t>Ca-Prodotti di alimenti e bevande</t>
  </si>
  <si>
    <t>Ca - Food production, drinks and tobacco (C10, C11, C12)</t>
  </si>
  <si>
    <t>Ca – Industria de alimentación, bebidas y tabaco (C10, C11, C12)</t>
  </si>
  <si>
    <t>Cb - Produktion von Textilien, Kleidung, Leder und Produkten hieraus (C13,C14,C15)</t>
  </si>
  <si>
    <t>Cb-Prodotti di tessuti, vestiti, cuoio</t>
  </si>
  <si>
    <t>Cb - Textile production, clothing, leather and leather products (C13, C14, C15)</t>
  </si>
  <si>
    <t>Cb – Industria textil, prendas de vestir, cuero y calzado (C13, C14, C15)</t>
  </si>
  <si>
    <t>Cc - Produktion von Holz- und Papierprodukten sowie Drucksorten (C16,C17,C18)</t>
  </si>
  <si>
    <t>Cc-Prodotti di legno e carta (C16,C17,C18)</t>
  </si>
  <si>
    <t>Cc - Paper and forest products, also printed matter (C16, C17, C18)</t>
  </si>
  <si>
    <t>Cc – Industria de la madera y el corcho; cestería y espartería; papel; artes gráficas y reproducción de soportes grabados</t>
  </si>
  <si>
    <t>Cd - Produktion von petrochemischen Produkte und Kunststoffen (C19, C20;C22)</t>
  </si>
  <si>
    <t>Cd-Prodotti petrol-sintetici e plastica (C19, C20;C22)</t>
  </si>
  <si>
    <t>Cd - Production of petrochemical products and plastics (C19, C20;C22)</t>
  </si>
  <si>
    <t>Cd – Industria química; coquerías y refino de petróleo; fabricación de productos de caucho y plásticos (C19, C20, C22)</t>
  </si>
  <si>
    <t>Ce - Produktion von pharmazeutischen Produktion und Präparaten (C21)</t>
  </si>
  <si>
    <t>Ce-Prodotti farmaceutici e medicinali (C21)</t>
  </si>
  <si>
    <t>Ce - Pharmaceutical products and preparations (C21)</t>
  </si>
  <si>
    <t>Ce – Fabricación de productos farmacéuticos (C21)</t>
  </si>
  <si>
    <t>Cf - Produktion nicht metallischer Mineralstoffe (C23)</t>
  </si>
  <si>
    <t>Cf-Prodotti non metallici e minerali (C23)</t>
  </si>
  <si>
    <t>Cf - Production of non-metallic minerals (C23)</t>
  </si>
  <si>
    <t>Cf – Fabricación de otros productos minerales no metálicos (C23)</t>
  </si>
  <si>
    <t>Cg - Produktion von Metallen und metallischen Produkten (exkl. Maschinen und Geräten) (C24,C25)</t>
  </si>
  <si>
    <t>Cg-Prodotti di metalli</t>
  </si>
  <si>
    <t>Cg - Production of metal and metallic products (excl. machines and equipment) (C24, C25)</t>
  </si>
  <si>
    <t>Cg – Metalurgia; fabricación de productos de hierro, acero y ferroaleaciones; fabricación de productos metálicos, excepto maquinaria (C24, C25)</t>
  </si>
  <si>
    <t>Ch - Produktion von elektronischen, optischen und sonstigen Geräten und Bauteilen sowie Computer (C26,C27,C28)</t>
  </si>
  <si>
    <t>Ch-Prodotti elettronici ed elettrici (C26,C27,C28)</t>
  </si>
  <si>
    <t>Ch - Production of electronic equipment, instruments and components as well as computers (C26, C27, C28)</t>
  </si>
  <si>
    <t>Ch – Fabricación de productos informáticos, electrónicos y ópticos; fabricación de material y equipo eléctrico; fabricación de maquinaria y equipo (C26, C27, C28)</t>
  </si>
  <si>
    <t xml:space="preserve">D - Strom-, Gas-, Dampfversorgung und Kühlung </t>
  </si>
  <si>
    <t>D-FORNITURA DI ENERGIA ELETTRICA, GAS, VAPORE E ARIA CONDIZIONATA</t>
  </si>
  <si>
    <t>D - Electric, Gas, Steam and Refrigeration</t>
  </si>
  <si>
    <t>D – Suministro de electricidad, gas, vapor y aire acondicionado</t>
  </si>
  <si>
    <t>E - Wasserversorgung, Abfallwirtschaft</t>
  </si>
  <si>
    <t>E-FORNITURA DI ACQUA; RETI FOGNARIE, ATTIVITÀ DI TRATTAMENTO DEI RIFIUTI E RISANAMENTO</t>
  </si>
  <si>
    <t>E - Water supply, waste management</t>
  </si>
  <si>
    <t>E – Suministro de agua, alcantarillado, gestión de desechos y actividades de saneamiento</t>
  </si>
  <si>
    <t>F - Baugewerbe</t>
  </si>
  <si>
    <t>F-Costruzioni</t>
  </si>
  <si>
    <t>F - Construction industry</t>
  </si>
  <si>
    <t>F – Construcción</t>
  </si>
  <si>
    <t>G - Groß- und Einzelhandel sowie Werkstätten für Kraftfahrzeuge (Anmerkung: Groß- und Einzelhandel nicht auf KFZ beschränkt)</t>
  </si>
  <si>
    <t>G-Commercio all'ingrosso e al dettaglio, officine</t>
  </si>
  <si>
    <t>G - Wholesale and retail</t>
  </si>
  <si>
    <t>G – Comercio al por mayor y al por menor, reparación de los vehículos de motor y de las motocicletas</t>
  </si>
  <si>
    <t>H - Verkehr und Lagerhaltung</t>
  </si>
  <si>
    <t>H-TRASPORTO E MAGAZZINAGGIO</t>
  </si>
  <si>
    <t>H - Transport and warehousing</t>
  </si>
  <si>
    <t>H – Transporte y almacenamiento</t>
  </si>
  <si>
    <t>I - Beherbergung und Gastronomie</t>
  </si>
  <si>
    <t>I-SERVIZI DI ALLOGGIO E DI RISTORAZIONE</t>
  </si>
  <si>
    <t>I - Accommodation and catering</t>
  </si>
  <si>
    <t>I – Alojamiento y servicios de comida</t>
  </si>
  <si>
    <t>J - Information und Kommunikation</t>
  </si>
  <si>
    <t>J-SERVIZI DI INFORMAZIONE E COMUNICAZIONE</t>
  </si>
  <si>
    <t>J - Information and Communication</t>
  </si>
  <si>
    <t>J – Información y comunicación</t>
  </si>
  <si>
    <t>K - Kredit- und Finanzwesen</t>
  </si>
  <si>
    <t>K-ATTIVITÀ FINANZIARIE E ASSICURATIVE</t>
  </si>
  <si>
    <t>K - Financial services</t>
  </si>
  <si>
    <t>K – Actividades financieras y de seguros</t>
  </si>
  <si>
    <t>L - (Immobilienwirtschaft</t>
  </si>
  <si>
    <t>L-ATTIVITÀ IMMOBILIARI</t>
  </si>
  <si>
    <t>L - Real estate</t>
  </si>
  <si>
    <t>L – Actividades inmobiliarias</t>
  </si>
  <si>
    <t>M - Freiberufliche, wissenschaftliche und technische Dienstleistungen</t>
  </si>
  <si>
    <t>M-ATTIVITÀ PROFESSIONALI, SCIENTIFICHE E TECNICHE</t>
  </si>
  <si>
    <t>M - Professional, technical and scientific services</t>
  </si>
  <si>
    <t>M – Actividades profesionales, científicas y técnicas</t>
  </si>
  <si>
    <t>N - Administrative und unterstützende Dienstleistungen</t>
  </si>
  <si>
    <t>N-ATTIVITÀ AMMINISTRATIVE E DI SERVIZI DI SUPPORTO</t>
  </si>
  <si>
    <t>N - Administrative and support services</t>
  </si>
  <si>
    <t>N – Actividades administrativas y servicios de apoyo</t>
  </si>
  <si>
    <t>O - Öffentliche Verwaltung; Verteidigung; Sozialversicherungswesen</t>
  </si>
  <si>
    <t>O-AMMINISTRAZIONE PUBBLICA E DIFESA; ASSICURAZIONE SOCIALE OBBLIGATORIA</t>
  </si>
  <si>
    <t>O - Public administration; defence; social security</t>
  </si>
  <si>
    <t>O – Administración pública y defensa, planes de seguridad social de afiliación obligatoria</t>
  </si>
  <si>
    <t>P-ISTRUZIONE</t>
  </si>
  <si>
    <t>P - Education</t>
  </si>
  <si>
    <t>P – Enseñanza</t>
  </si>
  <si>
    <t>Q - Gesundheit und Sozialarbeit</t>
  </si>
  <si>
    <t>Q-SANITÀ E ASSISTENZA SOCIALE</t>
  </si>
  <si>
    <t>Q - Health and social work</t>
  </si>
  <si>
    <t>Q – Servicios sociales y relacionados con la salud humana</t>
  </si>
  <si>
    <t>R - Kunst, Unterhaltung und Erholung</t>
  </si>
  <si>
    <t>R-ATTIVITA' ARTISTICHE, DI INTRATTENIMENTO E DIVERTIMENTO</t>
  </si>
  <si>
    <t>R - Art, education and leisure</t>
  </si>
  <si>
    <t>R – Artes, entretenimiento y recreación</t>
  </si>
  <si>
    <t>S - Andere Dienstleistungen</t>
  </si>
  <si>
    <t>S-ALTRE ATTIVITÀ DI SERVIZI</t>
  </si>
  <si>
    <t>S - Other services</t>
  </si>
  <si>
    <t>S – Otras actividades de servicio</t>
  </si>
  <si>
    <t>T - Private Haushalte</t>
  </si>
  <si>
    <t>T-convivenze, comunità famigliari e persone singole, condimini, amministratori di condomini</t>
  </si>
  <si>
    <t>T – Actividades de los hogares en calidad de empleadores, actividades indiferenciadas de producción de bienes y servicios de los hogares para uso propio</t>
  </si>
  <si>
    <t>U - Exterritoriale Organisationen und Körperschaften</t>
  </si>
  <si>
    <t xml:space="preserve">U-ATTIVITÀ DI ORGANIZZAZIONI E ORGANISMI EXTRATERRITORIALI </t>
  </si>
  <si>
    <t>U - Extraterritorial organisations and bodies</t>
  </si>
  <si>
    <t>U – Actividades de organizaciones y órganos extraterritoriales</t>
  </si>
  <si>
    <t>Gesamt-Ausgaben an Lieferanten (in Euro):</t>
  </si>
  <si>
    <t>Spese totali per i fornitori (in euro):</t>
  </si>
  <si>
    <t>Total purchases from suppliers (in Euros):</t>
  </si>
  <si>
    <t>Gastos totales en proveedores (en Euros):</t>
  </si>
  <si>
    <t xml:space="preserve">Tragen Sie nachstehend, bitte die 5 wichtigstenBranchen ein, aus denen Sie Produkte/Dienstleistungen beziehen. </t>
  </si>
  <si>
    <t>Inserisci sotto i 5 settori più importanti da cui acquisti prodotti / servizi.</t>
  </si>
  <si>
    <t>Enter the 5 most important industry sectors whose products or services you use.</t>
  </si>
  <si>
    <t>Introduzca los 5 secoters más importantes a los que realiza compras</t>
  </si>
  <si>
    <t>Branche</t>
  </si>
  <si>
    <t>Settore</t>
  </si>
  <si>
    <t>Industry sector</t>
  </si>
  <si>
    <t>Sector</t>
  </si>
  <si>
    <t>Beschreibung</t>
  </si>
  <si>
    <t>Description</t>
  </si>
  <si>
    <t>Descripción</t>
  </si>
  <si>
    <t>regionale Herkunft</t>
  </si>
  <si>
    <t>Provenienza regionale</t>
  </si>
  <si>
    <t>Region of origin</t>
  </si>
  <si>
    <t>Región de origen</t>
  </si>
  <si>
    <t>Ausgaben</t>
  </si>
  <si>
    <t>Spese</t>
  </si>
  <si>
    <t>Costs</t>
  </si>
  <si>
    <t>Gastos</t>
  </si>
  <si>
    <t>Überwiegende Herkunft restlicher Lieferanten</t>
  </si>
  <si>
    <t>Provenienza principale degli altri fornitori</t>
  </si>
  <si>
    <t>Main origin of the other suppliers</t>
  </si>
  <si>
    <t>Región de origen principal del resto de proveedores</t>
  </si>
  <si>
    <t>Gewinn (EBIT):</t>
  </si>
  <si>
    <t>Profitto (EBIT):</t>
  </si>
  <si>
    <t>Profit</t>
  </si>
  <si>
    <t>Beneficios (EBIT)</t>
  </si>
  <si>
    <t>Finanzierungskosten</t>
  </si>
  <si>
    <t>oneri finanziari</t>
  </si>
  <si>
    <t>Financing costs</t>
  </si>
  <si>
    <t>Costes financieros</t>
  </si>
  <si>
    <t>Erträge aus Finanzanlagen</t>
  </si>
  <si>
    <t>Proventi da attività finanziarie</t>
  </si>
  <si>
    <t>Income from financial investments</t>
  </si>
  <si>
    <t>Ingresos financieros</t>
  </si>
  <si>
    <t>Bilanzaktiva</t>
  </si>
  <si>
    <t>attività stato patrimoniale</t>
  </si>
  <si>
    <t>Total assets</t>
  </si>
  <si>
    <t>Activo (balance financiero)</t>
  </si>
  <si>
    <t xml:space="preserve">Zugänge zum Anlagevermögen </t>
  </si>
  <si>
    <t>Aggiunte alle immobilizzazioni</t>
  </si>
  <si>
    <t>Additions to fixed-assets</t>
  </si>
  <si>
    <t>Altas de activos fijos</t>
  </si>
  <si>
    <t>Finanzanlagen und Barguthaben</t>
  </si>
  <si>
    <t>Attività finanziarie e saldo di cassa</t>
  </si>
  <si>
    <t>Financial assets and cash balance</t>
  </si>
  <si>
    <t>Activos financieros y saldos de caja</t>
  </si>
  <si>
    <t xml:space="preserve">Anzahl der Mitarbeitenden (in Vollzeitäquivalenten): </t>
  </si>
  <si>
    <t>Numero di collaboratori (in equivalenti a tempo pieno):</t>
  </si>
  <si>
    <t>Number of employees (full time equivalents)</t>
  </si>
  <si>
    <t>Cantidad de trabajadores (equivalentes a jornada completa)</t>
  </si>
  <si>
    <t>Personalkosten (brutto ohne Dienstgeberanteil)</t>
  </si>
  <si>
    <t>Costi del personale (lordi senza contributo del datore di lavoro)</t>
  </si>
  <si>
    <t>Staff costs (gross without employer contribution)</t>
  </si>
  <si>
    <t>Gastos de personal</t>
  </si>
  <si>
    <t>Tragen Sie bitte nachstehend jene drei Länder und Regionen ein, wo die meisten Mitarbeitenden arbeiten</t>
  </si>
  <si>
    <t>Inserisca sotto i tre paesi e le regioni in cui lavora la maggior parte dei collaboratori</t>
  </si>
  <si>
    <t>Enter the 3 countries and regions where most of the staff are</t>
  </si>
  <si>
    <t>Introduzca los 3 países y regiones de los que la mayoría de trabajadores provienen</t>
  </si>
  <si>
    <t>Land &amp; Region</t>
  </si>
  <si>
    <t>Paese e Regione</t>
  </si>
  <si>
    <t>Country and region</t>
  </si>
  <si>
    <t>País y región</t>
  </si>
  <si>
    <t xml:space="preserve">Anteil in % </t>
  </si>
  <si>
    <t>Percentulale %</t>
  </si>
  <si>
    <t>Amount in %</t>
  </si>
  <si>
    <t>Porcentaje %</t>
  </si>
  <si>
    <t>Durchschnittlicher Arbeitsweg der Mitarbeitenden (in km):</t>
  </si>
  <si>
    <t>Distanza media al posto di lavoro dei collaboratori (in km):</t>
  </si>
  <si>
    <t>Average journey to work for staff (in km)</t>
  </si>
  <si>
    <t>Trayecto medio de los trabajadores a su lugar de trabajo (km):</t>
  </si>
  <si>
    <t>Gibt es eine Kantine für die Mehrheit der Mitarbeitenden?</t>
  </si>
  <si>
    <t>C'è una mensa per la maggior parte dei collaboratori?</t>
  </si>
  <si>
    <t>Is there a canteen for the majority of staff?</t>
  </si>
  <si>
    <t>¿Hay cantina para la mayoría de los trabajadores?</t>
  </si>
  <si>
    <t>Umsatz (in Euro)</t>
  </si>
  <si>
    <t>fatturato (in euro)</t>
  </si>
  <si>
    <t>Turnover (in Euros)</t>
  </si>
  <si>
    <t>Facturación (en euros)</t>
  </si>
  <si>
    <t>Haben Sie nahezu ausschließlich Unternehmen als Kunden</t>
  </si>
  <si>
    <t>Ha aziende quasi esclusivamente come clienti?</t>
  </si>
  <si>
    <t>Are your customers mainly other companies?</t>
  </si>
  <si>
    <t>¿Sus clientes son en su mayoría empresas?</t>
  </si>
  <si>
    <t>Tragen Sie nachstehend, bitte die 3 wichtigsten Branchen ein, in denen Ihr Unternehmen tätig ist, inklusive ungefährem Umsatzanteil</t>
  </si>
  <si>
    <t>Di seguito, descriva i 3 settori più importanti in cui opera la Sua azienda, inclusa la quota di fatturato approssimativa</t>
  </si>
  <si>
    <t>Enter the 3 most important industry sectors which your company is active in, including a rough share of turnover</t>
  </si>
  <si>
    <t>Introduzca los 3 sectores más importantes en los que opera su empresa incluyendo la facturación aprox. correspondiente</t>
  </si>
  <si>
    <t>descrizione</t>
  </si>
  <si>
    <t>% Anteil am Gesamtumsatz</t>
  </si>
  <si>
    <t>Quota % al fatturato</t>
  </si>
  <si>
    <t>% Amount of total turnover</t>
  </si>
  <si>
    <t>% sobre la facturación total</t>
  </si>
  <si>
    <t xml:space="preserve">Unternehmensgrösse </t>
  </si>
  <si>
    <t>dimensioni dell'azienda</t>
  </si>
  <si>
    <t>Company size</t>
  </si>
  <si>
    <t>Tamaño de la empresa</t>
  </si>
  <si>
    <t>Kleinstunternehmen</t>
  </si>
  <si>
    <t>microimpresa</t>
  </si>
  <si>
    <t>Micro-business</t>
  </si>
  <si>
    <t>Microempresa</t>
  </si>
  <si>
    <t>Kleinunternehmen</t>
  </si>
  <si>
    <t>Piccola impresa</t>
  </si>
  <si>
    <t>Small business</t>
  </si>
  <si>
    <t>Pequeña empresa</t>
  </si>
  <si>
    <t>Mittleres Unternehmen</t>
  </si>
  <si>
    <t>Impresa media</t>
  </si>
  <si>
    <t>Medium business</t>
  </si>
  <si>
    <t>Mediana empresa</t>
  </si>
  <si>
    <t>Grossunternehmen</t>
  </si>
  <si>
    <t>Grande impresa</t>
  </si>
  <si>
    <t>Large business</t>
  </si>
  <si>
    <t>Gran empresa</t>
  </si>
  <si>
    <t xml:space="preserve">In diesem Tabellenblatt wird die Gemeinwohlbilanz berechnet. </t>
  </si>
  <si>
    <t>In questo foglio viene calcolato il punteggio del bilancio del bene comune.</t>
  </si>
  <si>
    <t>Introduzca descripción de la tabla: en esta hoja se calcula la puntuación del balance del Bien Común.</t>
  </si>
  <si>
    <t>Skalenwert eingeben: Wert muss im Bereich von 0 bis 10 liegen.</t>
  </si>
  <si>
    <t xml:space="preserve">Inserisca un valore di scala da 0 a 10 </t>
  </si>
  <si>
    <t>Introduzca puntuación. El valor debe encontrarse entre 0 y 10.</t>
  </si>
  <si>
    <t>Negativpunkte eingeben: Werte müssen im Bereich von -200 bis 0 liegen.</t>
  </si>
  <si>
    <t xml:space="preserve">Inserisca un punteggio negativo da 0 a -200 </t>
  </si>
  <si>
    <t>Introduzca puntuación negativa. El valor debe encontrarse entre -200 y 0.</t>
  </si>
  <si>
    <t>globaler Durchschnitt</t>
  </si>
  <si>
    <t>media globale</t>
  </si>
  <si>
    <t>Media global</t>
  </si>
  <si>
    <t>Bitte auswählen</t>
  </si>
  <si>
    <t>Seleccione el país</t>
  </si>
  <si>
    <t>Afrika</t>
  </si>
  <si>
    <t>África</t>
  </si>
  <si>
    <t>Nord-Afrika und Mittlere Osten</t>
  </si>
  <si>
    <t>Nord-Africa e Medio Oriente</t>
  </si>
  <si>
    <t>Norte de África y Oriente Medio</t>
  </si>
  <si>
    <t>Latein-Amerika</t>
  </si>
  <si>
    <t>Latino-America</t>
  </si>
  <si>
    <t>Latinoamérica</t>
  </si>
  <si>
    <t>Nord-Amerika &amp; Ozeanien</t>
  </si>
  <si>
    <t>Nord-America e Ozeania</t>
  </si>
  <si>
    <t>Norteamérica y Oceanía</t>
  </si>
  <si>
    <t>Asien</t>
  </si>
  <si>
    <t>Europa</t>
  </si>
  <si>
    <t>.aw</t>
  </si>
  <si>
    <t>AW</t>
  </si>
  <si>
    <t xml:space="preserve">Aruba </t>
  </si>
  <si>
    <t>.af</t>
  </si>
  <si>
    <t>AF</t>
  </si>
  <si>
    <t xml:space="preserve">Afghanistan </t>
  </si>
  <si>
    <t>Afganistán</t>
  </si>
  <si>
    <t>.ao</t>
  </si>
  <si>
    <t>AO</t>
  </si>
  <si>
    <t xml:space="preserve">Angola </t>
  </si>
  <si>
    <t>.al</t>
  </si>
  <si>
    <t>AL</t>
  </si>
  <si>
    <t>Albanien</t>
  </si>
  <si>
    <t xml:space="preserve">Albania </t>
  </si>
  <si>
    <t>Albanie</t>
  </si>
  <si>
    <t>.ad</t>
  </si>
  <si>
    <t>AD</t>
  </si>
  <si>
    <t xml:space="preserve">Andorra </t>
  </si>
  <si>
    <t>Andorre</t>
  </si>
  <si>
    <t>.ae</t>
  </si>
  <si>
    <t>AE</t>
  </si>
  <si>
    <t>Vereinigte Arabische Emirate</t>
  </si>
  <si>
    <t xml:space="preserve">Emirati Arabi Uniti </t>
  </si>
  <si>
    <t xml:space="preserve">United Arab Emirates </t>
  </si>
  <si>
    <t>Emiratos Árabes Unidos</t>
  </si>
  <si>
    <t>Émirats Arabes Unis</t>
  </si>
  <si>
    <t>.ar</t>
  </si>
  <si>
    <t>AR</t>
  </si>
  <si>
    <t>Argentinien</t>
  </si>
  <si>
    <t xml:space="preserve">Argentina </t>
  </si>
  <si>
    <t>Argentine</t>
  </si>
  <si>
    <t>.am</t>
  </si>
  <si>
    <t>AM</t>
  </si>
  <si>
    <t>Armenien</t>
  </si>
  <si>
    <t xml:space="preserve">Armenia </t>
  </si>
  <si>
    <t>Arménie</t>
  </si>
  <si>
    <t>.as</t>
  </si>
  <si>
    <t>AS</t>
  </si>
  <si>
    <t>Amerikanisch-Samoa</t>
  </si>
  <si>
    <t xml:space="preserve">Samoa americane </t>
  </si>
  <si>
    <t xml:space="preserve">American Samoa </t>
  </si>
  <si>
    <t>Samoa Americana</t>
  </si>
  <si>
    <t>Samoa américaines</t>
  </si>
  <si>
    <t>.ag</t>
  </si>
  <si>
    <t>AG</t>
  </si>
  <si>
    <t>Antigua und Barbuda</t>
  </si>
  <si>
    <t xml:space="preserve">Antigua e Barbuda </t>
  </si>
  <si>
    <t xml:space="preserve">Antigua and Barbuda </t>
  </si>
  <si>
    <t>Antigua y Barbuda</t>
  </si>
  <si>
    <t>Antigua-et-Barbuda</t>
  </si>
  <si>
    <t>.au</t>
  </si>
  <si>
    <t>AU</t>
  </si>
  <si>
    <t>Australien</t>
  </si>
  <si>
    <t xml:space="preserve">Australia </t>
  </si>
  <si>
    <t>Australie</t>
  </si>
  <si>
    <t>.at</t>
  </si>
  <si>
    <t>AT</t>
  </si>
  <si>
    <t>Österreich</t>
  </si>
  <si>
    <t xml:space="preserve">Austria </t>
  </si>
  <si>
    <t>Autriche</t>
  </si>
  <si>
    <t>.az</t>
  </si>
  <si>
    <t>AZ</t>
  </si>
  <si>
    <t>Aserbaidschan</t>
  </si>
  <si>
    <t xml:space="preserve">Azerbaigian </t>
  </si>
  <si>
    <t xml:space="preserve">Azerbaijan </t>
  </si>
  <si>
    <t>Azerbaiyán</t>
  </si>
  <si>
    <t>Azerbaïdjan</t>
  </si>
  <si>
    <t>.bi</t>
  </si>
  <si>
    <t>BI</t>
  </si>
  <si>
    <t xml:space="preserve">Burundi </t>
  </si>
  <si>
    <t>.be</t>
  </si>
  <si>
    <t>BE</t>
  </si>
  <si>
    <t>Belgien</t>
  </si>
  <si>
    <t xml:space="preserve">Belgio </t>
  </si>
  <si>
    <t xml:space="preserve">Belgium </t>
  </si>
  <si>
    <t>Bélgica</t>
  </si>
  <si>
    <t>Belgique</t>
  </si>
  <si>
    <t>.bj</t>
  </si>
  <si>
    <t>BJ</t>
  </si>
  <si>
    <t xml:space="preserve">Benin </t>
  </si>
  <si>
    <t>Benín</t>
  </si>
  <si>
    <t>Bénin</t>
  </si>
  <si>
    <t>.bf</t>
  </si>
  <si>
    <t>BF</t>
  </si>
  <si>
    <t xml:space="preserve">Burkina Faso </t>
  </si>
  <si>
    <t>.bd</t>
  </si>
  <si>
    <t>BD</t>
  </si>
  <si>
    <t>Bangladesch</t>
  </si>
  <si>
    <t xml:space="preserve">Bangladesh </t>
  </si>
  <si>
    <t>Bangladés</t>
  </si>
  <si>
    <t>.bg</t>
  </si>
  <si>
    <t>BG</t>
  </si>
  <si>
    <t>Bulgarien</t>
  </si>
  <si>
    <t xml:space="preserve">Bulgaria </t>
  </si>
  <si>
    <t>Bulgarie</t>
  </si>
  <si>
    <t>.bh</t>
  </si>
  <si>
    <t>BH</t>
  </si>
  <si>
    <t xml:space="preserve">Bahrain </t>
  </si>
  <si>
    <t>Baréin</t>
  </si>
  <si>
    <t>Bahreïn</t>
  </si>
  <si>
    <t>.bs</t>
  </si>
  <si>
    <t>BS</t>
  </si>
  <si>
    <t>Bahamas</t>
  </si>
  <si>
    <t xml:space="preserve">Bahamas </t>
  </si>
  <si>
    <t>.ba</t>
  </si>
  <si>
    <t>BA</t>
  </si>
  <si>
    <t>Bosnien und Herzegowina</t>
  </si>
  <si>
    <t xml:space="preserve">Bosnia ed Erzegovina </t>
  </si>
  <si>
    <t xml:space="preserve">Bosnia and Herzegovina </t>
  </si>
  <si>
    <t>Bosnia y Herzegovina</t>
  </si>
  <si>
    <t>Bosnie-Herzégovine</t>
  </si>
  <si>
    <t>.by</t>
  </si>
  <si>
    <t>BY</t>
  </si>
  <si>
    <t xml:space="preserve">Bielorussia </t>
  </si>
  <si>
    <t xml:space="preserve">Belarus </t>
  </si>
  <si>
    <t>Bielorrusia</t>
  </si>
  <si>
    <t>Biélorussie</t>
  </si>
  <si>
    <t>.bz</t>
  </si>
  <si>
    <t>BZ</t>
  </si>
  <si>
    <t xml:space="preserve">Belize </t>
  </si>
  <si>
    <t>Belice</t>
  </si>
  <si>
    <t>.bm</t>
  </si>
  <si>
    <t>BM</t>
  </si>
  <si>
    <t xml:space="preserve">Bermuda </t>
  </si>
  <si>
    <t>Bermudas</t>
  </si>
  <si>
    <t>Bermudes</t>
  </si>
  <si>
    <t>.bo</t>
  </si>
  <si>
    <t>BO</t>
  </si>
  <si>
    <t>Bolivien</t>
  </si>
  <si>
    <t xml:space="preserve">Bolivia </t>
  </si>
  <si>
    <t xml:space="preserve">Bolivia, Plurinational State of </t>
  </si>
  <si>
    <t>Bolivie</t>
  </si>
  <si>
    <t>.br</t>
  </si>
  <si>
    <t>BR</t>
  </si>
  <si>
    <t>Brasilien</t>
  </si>
  <si>
    <t xml:space="preserve">Brasile </t>
  </si>
  <si>
    <t xml:space="preserve">Brazil </t>
  </si>
  <si>
    <t>Brasil</t>
  </si>
  <si>
    <t>Brésil</t>
  </si>
  <si>
    <t>.bb</t>
  </si>
  <si>
    <t>BB</t>
  </si>
  <si>
    <t xml:space="preserve">Barbados </t>
  </si>
  <si>
    <t>Barbades</t>
  </si>
  <si>
    <t>.bn</t>
  </si>
  <si>
    <t>BN</t>
  </si>
  <si>
    <t xml:space="preserve">Brunei </t>
  </si>
  <si>
    <t xml:space="preserve">Brunei Darussalam </t>
  </si>
  <si>
    <t>Brunéi</t>
  </si>
  <si>
    <t>Brunei</t>
  </si>
  <si>
    <t>.bt</t>
  </si>
  <si>
    <t>BT</t>
  </si>
  <si>
    <t xml:space="preserve">Bhutan </t>
  </si>
  <si>
    <t>Bután</t>
  </si>
  <si>
    <t>Bhoutan</t>
  </si>
  <si>
    <t>.bw</t>
  </si>
  <si>
    <t>BW</t>
  </si>
  <si>
    <t xml:space="preserve">Botswana </t>
  </si>
  <si>
    <t>Botsuana</t>
  </si>
  <si>
    <t>.cf</t>
  </si>
  <si>
    <t>CF</t>
  </si>
  <si>
    <t>Zentralafrikanische Republik</t>
  </si>
  <si>
    <t xml:space="preserve">Repubblica Centrafricana </t>
  </si>
  <si>
    <t xml:space="preserve">Central African Republic </t>
  </si>
  <si>
    <t>República Centroafricana</t>
  </si>
  <si>
    <t>République centrafricaine</t>
  </si>
  <si>
    <t>.ca</t>
  </si>
  <si>
    <t>CA</t>
  </si>
  <si>
    <t>Kanada</t>
  </si>
  <si>
    <t xml:space="preserve">Canada </t>
  </si>
  <si>
    <t>Canadá</t>
  </si>
  <si>
    <t>.ch</t>
  </si>
  <si>
    <t>CH</t>
  </si>
  <si>
    <t>Schweiz (Confoederatio Helvetica)</t>
  </si>
  <si>
    <t xml:space="preserve">della Svizzera Svizzera </t>
  </si>
  <si>
    <t xml:space="preserve">Switzerland </t>
  </si>
  <si>
    <t>Suiza</t>
  </si>
  <si>
    <t>Suisse</t>
  </si>
  <si>
    <t>.cl</t>
  </si>
  <si>
    <t>CL</t>
  </si>
  <si>
    <t xml:space="preserve">Cile </t>
  </si>
  <si>
    <t xml:space="preserve">Chile </t>
  </si>
  <si>
    <t>Chili</t>
  </si>
  <si>
    <t>.cn</t>
  </si>
  <si>
    <t>CN</t>
  </si>
  <si>
    <t>China, Volksrepublik</t>
  </si>
  <si>
    <t xml:space="preserve">Cina </t>
  </si>
  <si>
    <t xml:space="preserve">China </t>
  </si>
  <si>
    <t>Chine</t>
  </si>
  <si>
    <t>.ci</t>
  </si>
  <si>
    <t>CI</t>
  </si>
  <si>
    <t>Côte d’Ivoire (Elfenbeinküste)</t>
  </si>
  <si>
    <t xml:space="preserve">Costa d'Avorio </t>
  </si>
  <si>
    <t xml:space="preserve">Côte d'Ivoire </t>
  </si>
  <si>
    <t>Costa de Marfil</t>
  </si>
  <si>
    <t>Côte-d'Ivoire</t>
  </si>
  <si>
    <t>.cm</t>
  </si>
  <si>
    <t>CM</t>
  </si>
  <si>
    <t>Kamerun</t>
  </si>
  <si>
    <t xml:space="preserve">Camerun </t>
  </si>
  <si>
    <t xml:space="preserve">Cameroon </t>
  </si>
  <si>
    <t>Camerún</t>
  </si>
  <si>
    <t>Cameroun</t>
  </si>
  <si>
    <t>.cd</t>
  </si>
  <si>
    <t>CD</t>
  </si>
  <si>
    <t>Kongo, Demokratische Republik (ehem. Zaire)</t>
  </si>
  <si>
    <t xml:space="preserve">Repubblica Democratica del Congo </t>
  </si>
  <si>
    <t xml:space="preserve">Congo, the Democratic Republic of the </t>
  </si>
  <si>
    <t>Rep. Dem. del Congo</t>
  </si>
  <si>
    <t>République démocratique du Congo</t>
  </si>
  <si>
    <t>.cg</t>
  </si>
  <si>
    <t>CG</t>
  </si>
  <si>
    <t>Republik Kongo</t>
  </si>
  <si>
    <t xml:space="preserve">Repubblica del Congo </t>
  </si>
  <si>
    <t xml:space="preserve">Congo </t>
  </si>
  <si>
    <t>República del Congo</t>
  </si>
  <si>
    <t>République du Congo</t>
  </si>
  <si>
    <t>.co</t>
  </si>
  <si>
    <t>CO</t>
  </si>
  <si>
    <t>Kolumbien</t>
  </si>
  <si>
    <t xml:space="preserve">Colombia </t>
  </si>
  <si>
    <t>Colombie</t>
  </si>
  <si>
    <t>.km</t>
  </si>
  <si>
    <t>KM</t>
  </si>
  <si>
    <t>Komoren</t>
  </si>
  <si>
    <t xml:space="preserve">Comore </t>
  </si>
  <si>
    <t xml:space="preserve">Comoros </t>
  </si>
  <si>
    <t>Comoras</t>
  </si>
  <si>
    <t>Comores</t>
  </si>
  <si>
    <t>.cv</t>
  </si>
  <si>
    <t>CV</t>
  </si>
  <si>
    <t>Kap Verde</t>
  </si>
  <si>
    <t xml:space="preserve">Capo Verde </t>
  </si>
  <si>
    <t xml:space="preserve">Cape Verde </t>
  </si>
  <si>
    <t>Cap vert</t>
  </si>
  <si>
    <t>.cr</t>
  </si>
  <si>
    <t>CR</t>
  </si>
  <si>
    <t xml:space="preserve">Costa Rica </t>
  </si>
  <si>
    <t>.cu</t>
  </si>
  <si>
    <t>CU</t>
  </si>
  <si>
    <t>Kuba</t>
  </si>
  <si>
    <t xml:space="preserve">Cuba </t>
  </si>
  <si>
    <t>.cw</t>
  </si>
  <si>
    <t>CW</t>
  </si>
  <si>
    <t>Curaçao</t>
  </si>
  <si>
    <t xml:space="preserve">Curaçao </t>
  </si>
  <si>
    <t>Curazao</t>
  </si>
  <si>
    <t>.ky</t>
  </si>
  <si>
    <t>KY</t>
  </si>
  <si>
    <t>Kaimaninseln</t>
  </si>
  <si>
    <t xml:space="preserve">Isole Cayman </t>
  </si>
  <si>
    <t xml:space="preserve">Cayman Islands </t>
  </si>
  <si>
    <t>Islas Caimán</t>
  </si>
  <si>
    <t>Îles Caïmans</t>
  </si>
  <si>
    <t>.cy</t>
  </si>
  <si>
    <t>CY</t>
  </si>
  <si>
    <t>Zypern</t>
  </si>
  <si>
    <t xml:space="preserve">Cipro </t>
  </si>
  <si>
    <t xml:space="preserve">Cyprus </t>
  </si>
  <si>
    <t>Chipre</t>
  </si>
  <si>
    <t>Chypre</t>
  </si>
  <si>
    <t>.cz</t>
  </si>
  <si>
    <t>CZ</t>
  </si>
  <si>
    <t>Tschechische Republik</t>
  </si>
  <si>
    <t xml:space="preserve">Repubblica Ceca </t>
  </si>
  <si>
    <t xml:space="preserve">Czech Republic </t>
  </si>
  <si>
    <t>República Checa</t>
  </si>
  <si>
    <t>République Tchèque</t>
  </si>
  <si>
    <t>.de</t>
  </si>
  <si>
    <t>DE</t>
  </si>
  <si>
    <t>Deutschland</t>
  </si>
  <si>
    <t xml:space="preserve">Germania </t>
  </si>
  <si>
    <t xml:space="preserve">Germany </t>
  </si>
  <si>
    <t>Alemania</t>
  </si>
  <si>
    <t>Allemagne</t>
  </si>
  <si>
    <t>.dj</t>
  </si>
  <si>
    <t>DJ</t>
  </si>
  <si>
    <t>Dschibuti</t>
  </si>
  <si>
    <t xml:space="preserve">Gibuti </t>
  </si>
  <si>
    <t xml:space="preserve">Djibouti </t>
  </si>
  <si>
    <t>Yibuti</t>
  </si>
  <si>
    <t>.dm</t>
  </si>
  <si>
    <t>DM</t>
  </si>
  <si>
    <t xml:space="preserve">Dominica </t>
  </si>
  <si>
    <t>Dominique</t>
  </si>
  <si>
    <t>.dk</t>
  </si>
  <si>
    <t>DK</t>
  </si>
  <si>
    <t>Dänemark</t>
  </si>
  <si>
    <t xml:space="preserve">Danimarca </t>
  </si>
  <si>
    <t xml:space="preserve">Denmark </t>
  </si>
  <si>
    <t>Dinamarca</t>
  </si>
  <si>
    <t>Danemark</t>
  </si>
  <si>
    <t>.do</t>
  </si>
  <si>
    <t>DO</t>
  </si>
  <si>
    <t>Dominikanische Republik</t>
  </si>
  <si>
    <t xml:space="preserve">Repubblica Dominicana </t>
  </si>
  <si>
    <t xml:space="preserve">Dominican Republic </t>
  </si>
  <si>
    <t>República Dominicana</t>
  </si>
  <si>
    <t>République Dominicaine</t>
  </si>
  <si>
    <t>.dz</t>
  </si>
  <si>
    <t>DZ</t>
  </si>
  <si>
    <t>Algerien</t>
  </si>
  <si>
    <t xml:space="preserve">Algeria </t>
  </si>
  <si>
    <t>Argelia</t>
  </si>
  <si>
    <t>Algérie</t>
  </si>
  <si>
    <t>.ec</t>
  </si>
  <si>
    <t>EC</t>
  </si>
  <si>
    <t xml:space="preserve">Ecuador </t>
  </si>
  <si>
    <t>Équateur</t>
  </si>
  <si>
    <t>.eg</t>
  </si>
  <si>
    <t>EG</t>
  </si>
  <si>
    <t>Ägypten</t>
  </si>
  <si>
    <t xml:space="preserve">Egitto </t>
  </si>
  <si>
    <t xml:space="preserve">Egypt </t>
  </si>
  <si>
    <t>Egipto</t>
  </si>
  <si>
    <t>Égypte</t>
  </si>
  <si>
    <t>.er</t>
  </si>
  <si>
    <t>ER</t>
  </si>
  <si>
    <t xml:space="preserve">Eritrea </t>
  </si>
  <si>
    <t>Érythrée</t>
  </si>
  <si>
    <t>.es</t>
  </si>
  <si>
    <t>ES</t>
  </si>
  <si>
    <t>Spanien</t>
  </si>
  <si>
    <t xml:space="preserve">Spagna </t>
  </si>
  <si>
    <t xml:space="preserve">Spain </t>
  </si>
  <si>
    <t>España</t>
  </si>
  <si>
    <t>Espagne</t>
  </si>
  <si>
    <t>.ee</t>
  </si>
  <si>
    <t>EE</t>
  </si>
  <si>
    <t>Estland</t>
  </si>
  <si>
    <t xml:space="preserve">Estonia </t>
  </si>
  <si>
    <t>Estonie</t>
  </si>
  <si>
    <t>.et</t>
  </si>
  <si>
    <t>ET</t>
  </si>
  <si>
    <t>Äthiopien</t>
  </si>
  <si>
    <t xml:space="preserve">Etiopia </t>
  </si>
  <si>
    <t xml:space="preserve">Ethiopia </t>
  </si>
  <si>
    <t>Etiopía</t>
  </si>
  <si>
    <t>Éthiopie</t>
  </si>
  <si>
    <t>.fi</t>
  </si>
  <si>
    <t>FI</t>
  </si>
  <si>
    <t>Finnland</t>
  </si>
  <si>
    <t xml:space="preserve">Finlandia </t>
  </si>
  <si>
    <t xml:space="preserve">Finland </t>
  </si>
  <si>
    <t>Finlandia</t>
  </si>
  <si>
    <t>Finlande</t>
  </si>
  <si>
    <t>.fj</t>
  </si>
  <si>
    <t>FJ</t>
  </si>
  <si>
    <t>Fidschi</t>
  </si>
  <si>
    <t xml:space="preserve">Figi </t>
  </si>
  <si>
    <t xml:space="preserve">Fiji </t>
  </si>
  <si>
    <t>Fiyi</t>
  </si>
  <si>
    <t>.fr</t>
  </si>
  <si>
    <t>FR</t>
  </si>
  <si>
    <t>Frankreich</t>
  </si>
  <si>
    <t xml:space="preserve">Francia </t>
  </si>
  <si>
    <t xml:space="preserve">France </t>
  </si>
  <si>
    <t>Francia</t>
  </si>
  <si>
    <t>.fo</t>
  </si>
  <si>
    <t>FO</t>
  </si>
  <si>
    <t>Färöer</t>
  </si>
  <si>
    <t xml:space="preserve">Isole Fær Øer </t>
  </si>
  <si>
    <t xml:space="preserve">Faroe Islands </t>
  </si>
  <si>
    <t>Islas Feroe</t>
  </si>
  <si>
    <t>Îles Féroé</t>
  </si>
  <si>
    <t>.fm</t>
  </si>
  <si>
    <t>FM</t>
  </si>
  <si>
    <t>Mikronesien</t>
  </si>
  <si>
    <t xml:space="preserve">Micronesia </t>
  </si>
  <si>
    <t xml:space="preserve">Micronesia, Federated States of </t>
  </si>
  <si>
    <t>Micronesia</t>
  </si>
  <si>
    <t>Micronésie</t>
  </si>
  <si>
    <t>.ga</t>
  </si>
  <si>
    <t>GA</t>
  </si>
  <si>
    <t>Gabun</t>
  </si>
  <si>
    <t xml:space="preserve">Gabon </t>
  </si>
  <si>
    <t>Gabón</t>
  </si>
  <si>
    <t>.uk</t>
  </si>
  <si>
    <t>GB</t>
  </si>
  <si>
    <t>Vereinigtes Königreich Großbritannien und Nordirland</t>
  </si>
  <si>
    <t xml:space="preserve">Regno Unito </t>
  </si>
  <si>
    <t xml:space="preserve">United Kingdom </t>
  </si>
  <si>
    <t>Reino Unido</t>
  </si>
  <si>
    <t>Royaume-Uni</t>
  </si>
  <si>
    <t>.ge</t>
  </si>
  <si>
    <t>GE</t>
  </si>
  <si>
    <t>Georgien</t>
  </si>
  <si>
    <t xml:space="preserve">Georgia </t>
  </si>
  <si>
    <t>État de Géorgie</t>
  </si>
  <si>
    <t>.gh</t>
  </si>
  <si>
    <t>GH</t>
  </si>
  <si>
    <t xml:space="preserve">Ghana </t>
  </si>
  <si>
    <t>.gi</t>
  </si>
  <si>
    <t>GI</t>
  </si>
  <si>
    <t xml:space="preserve">Gibilterra </t>
  </si>
  <si>
    <t xml:space="preserve">Gibraltar </t>
  </si>
  <si>
    <t>Gribraltar</t>
  </si>
  <si>
    <t>.gn</t>
  </si>
  <si>
    <t>GN</t>
  </si>
  <si>
    <t xml:space="preserve">Guinea </t>
  </si>
  <si>
    <t>Guinée</t>
  </si>
  <si>
    <t>.gm</t>
  </si>
  <si>
    <t>GM</t>
  </si>
  <si>
    <t>Gambia</t>
  </si>
  <si>
    <t xml:space="preserve">Gambia </t>
  </si>
  <si>
    <t>Gambie</t>
  </si>
  <si>
    <t>.gw</t>
  </si>
  <si>
    <t>GW</t>
  </si>
  <si>
    <t xml:space="preserve">Guinea-Bissau </t>
  </si>
  <si>
    <t>Guinea-Bisáu</t>
  </si>
  <si>
    <t>Guinée-Bissau</t>
  </si>
  <si>
    <t>.gq</t>
  </si>
  <si>
    <t>GQ</t>
  </si>
  <si>
    <t>Äquatorialguinea</t>
  </si>
  <si>
    <t xml:space="preserve">Guinea Equatoriale </t>
  </si>
  <si>
    <t xml:space="preserve">Equatorial Guinea </t>
  </si>
  <si>
    <t>Guinea Ecuatorial</t>
  </si>
  <si>
    <t>Guinée équatoriale</t>
  </si>
  <si>
    <t>.gr</t>
  </si>
  <si>
    <t>GR</t>
  </si>
  <si>
    <t>Griechenland</t>
  </si>
  <si>
    <t xml:space="preserve">Grecia </t>
  </si>
  <si>
    <t xml:space="preserve">Greece </t>
  </si>
  <si>
    <t>Grecia</t>
  </si>
  <si>
    <t>Grèce</t>
  </si>
  <si>
    <t>.gd</t>
  </si>
  <si>
    <t>GD</t>
  </si>
  <si>
    <t xml:space="preserve">Grenada </t>
  </si>
  <si>
    <t>Granada</t>
  </si>
  <si>
    <t>Grenade</t>
  </si>
  <si>
    <t>.gl</t>
  </si>
  <si>
    <t>GL</t>
  </si>
  <si>
    <t>Grönland</t>
  </si>
  <si>
    <t xml:space="preserve">Groenlandia </t>
  </si>
  <si>
    <t xml:space="preserve">Greenland </t>
  </si>
  <si>
    <t>Groenlandia</t>
  </si>
  <si>
    <t>Groenland</t>
  </si>
  <si>
    <t>.gt</t>
  </si>
  <si>
    <t>GT</t>
  </si>
  <si>
    <t xml:space="preserve">Guatemala </t>
  </si>
  <si>
    <t>Guatémala</t>
  </si>
  <si>
    <t>.gu</t>
  </si>
  <si>
    <t>GU</t>
  </si>
  <si>
    <t xml:space="preserve">Guam </t>
  </si>
  <si>
    <t>.gy</t>
  </si>
  <si>
    <t>GY</t>
  </si>
  <si>
    <t xml:space="preserve">Guyana </t>
  </si>
  <si>
    <t>Guyane</t>
  </si>
  <si>
    <t>.hk</t>
  </si>
  <si>
    <t>HK</t>
  </si>
  <si>
    <t>Hongkong</t>
  </si>
  <si>
    <t xml:space="preserve">Hong Kong </t>
  </si>
  <si>
    <t>Hong Kong</t>
  </si>
  <si>
    <t>.hn</t>
  </si>
  <si>
    <t>HN</t>
  </si>
  <si>
    <t xml:space="preserve">Honduras </t>
  </si>
  <si>
    <t>.hr</t>
  </si>
  <si>
    <t>HR</t>
  </si>
  <si>
    <t>Kroatien</t>
  </si>
  <si>
    <t xml:space="preserve">Croazia </t>
  </si>
  <si>
    <t xml:space="preserve">Croatia </t>
  </si>
  <si>
    <t>Croacia</t>
  </si>
  <si>
    <t>Croatie</t>
  </si>
  <si>
    <t>.ht</t>
  </si>
  <si>
    <t>HT</t>
  </si>
  <si>
    <t xml:space="preserve">Haiti </t>
  </si>
  <si>
    <t>Haití</t>
  </si>
  <si>
    <t>Haïti</t>
  </si>
  <si>
    <t>.hu</t>
  </si>
  <si>
    <t>HU</t>
  </si>
  <si>
    <t>Ungarn</t>
  </si>
  <si>
    <t xml:space="preserve">Ungheria </t>
  </si>
  <si>
    <t xml:space="preserve">Hungary </t>
  </si>
  <si>
    <t>Hungría</t>
  </si>
  <si>
    <t>Hongrie</t>
  </si>
  <si>
    <t>.id</t>
  </si>
  <si>
    <t>ID</t>
  </si>
  <si>
    <t>Indonesien</t>
  </si>
  <si>
    <t xml:space="preserve">Indonesia </t>
  </si>
  <si>
    <t>Indonésie</t>
  </si>
  <si>
    <t>.im</t>
  </si>
  <si>
    <t>IM</t>
  </si>
  <si>
    <t>Insel Man</t>
  </si>
  <si>
    <t xml:space="preserve">Isola di Man </t>
  </si>
  <si>
    <t xml:space="preserve">Isle of Man </t>
  </si>
  <si>
    <t>Isla de Man</t>
  </si>
  <si>
    <t>Île de Man</t>
  </si>
  <si>
    <t>.in</t>
  </si>
  <si>
    <t>IN</t>
  </si>
  <si>
    <t>Indien</t>
  </si>
  <si>
    <t xml:space="preserve">India </t>
  </si>
  <si>
    <t>Inde</t>
  </si>
  <si>
    <t>.ie</t>
  </si>
  <si>
    <t>IE</t>
  </si>
  <si>
    <t>Irland</t>
  </si>
  <si>
    <t xml:space="preserve">Irlanda </t>
  </si>
  <si>
    <t xml:space="preserve">Ireland </t>
  </si>
  <si>
    <t>Irlanda</t>
  </si>
  <si>
    <t>Irlande</t>
  </si>
  <si>
    <t>.ir</t>
  </si>
  <si>
    <t>IR</t>
  </si>
  <si>
    <t>Iran, Islamische Republik</t>
  </si>
  <si>
    <t xml:space="preserve">Iran </t>
  </si>
  <si>
    <t xml:space="preserve">Iran, Islamic Republic of </t>
  </si>
  <si>
    <t>Irán</t>
  </si>
  <si>
    <t>Iran</t>
  </si>
  <si>
    <t>.iq</t>
  </si>
  <si>
    <t>IQ</t>
  </si>
  <si>
    <t>Irak</t>
  </si>
  <si>
    <t xml:space="preserve">Iraq </t>
  </si>
  <si>
    <t>.is</t>
  </si>
  <si>
    <t>IS</t>
  </si>
  <si>
    <t>Island</t>
  </si>
  <si>
    <t xml:space="preserve">Islanda </t>
  </si>
  <si>
    <t xml:space="preserve">Iceland </t>
  </si>
  <si>
    <t>Islandia</t>
  </si>
  <si>
    <t>Islande</t>
  </si>
  <si>
    <t>.il</t>
  </si>
  <si>
    <t>IL</t>
  </si>
  <si>
    <t xml:space="preserve">Israele </t>
  </si>
  <si>
    <t xml:space="preserve">Israel </t>
  </si>
  <si>
    <t>Israël</t>
  </si>
  <si>
    <t>.it</t>
  </si>
  <si>
    <t>IT</t>
  </si>
  <si>
    <t>Italien</t>
  </si>
  <si>
    <t xml:space="preserve">Italia </t>
  </si>
  <si>
    <t xml:space="preserve">Italy </t>
  </si>
  <si>
    <t>Italia</t>
  </si>
  <si>
    <t>Italie</t>
  </si>
  <si>
    <t>.jm</t>
  </si>
  <si>
    <t>JM</t>
  </si>
  <si>
    <t>Jamaika</t>
  </si>
  <si>
    <t xml:space="preserve">Giamaica </t>
  </si>
  <si>
    <t xml:space="preserve">Jamaica </t>
  </si>
  <si>
    <t>Jamaïque</t>
  </si>
  <si>
    <t>.jo</t>
  </si>
  <si>
    <t>JO</t>
  </si>
  <si>
    <t>Jordanien</t>
  </si>
  <si>
    <t xml:space="preserve">Giordania </t>
  </si>
  <si>
    <t xml:space="preserve">Jordan </t>
  </si>
  <si>
    <t>Jordania</t>
  </si>
  <si>
    <t>Jordanie</t>
  </si>
  <si>
    <t>.jp</t>
  </si>
  <si>
    <t>JP</t>
  </si>
  <si>
    <t xml:space="preserve">Giappone </t>
  </si>
  <si>
    <t xml:space="preserve">Japan </t>
  </si>
  <si>
    <t>Japón</t>
  </si>
  <si>
    <t>Japon</t>
  </si>
  <si>
    <t>.kz</t>
  </si>
  <si>
    <t>KZ</t>
  </si>
  <si>
    <t>Kasachstan</t>
  </si>
  <si>
    <t xml:space="preserve">Kazakistan </t>
  </si>
  <si>
    <t xml:space="preserve">Kazakhstan </t>
  </si>
  <si>
    <t>Kazajistán</t>
  </si>
  <si>
    <t>.ke</t>
  </si>
  <si>
    <t>KE</t>
  </si>
  <si>
    <t>Kenia</t>
  </si>
  <si>
    <t xml:space="preserve">Kenya </t>
  </si>
  <si>
    <t>.kg</t>
  </si>
  <si>
    <t>KG</t>
  </si>
  <si>
    <t>Kirgisistan</t>
  </si>
  <si>
    <t xml:space="preserve">Kirghizistan </t>
  </si>
  <si>
    <t xml:space="preserve">Kyrgyzstan </t>
  </si>
  <si>
    <t>Kirguistán</t>
  </si>
  <si>
    <t>Kirghizistan</t>
  </si>
  <si>
    <t>.kh</t>
  </si>
  <si>
    <t>KH</t>
  </si>
  <si>
    <t>Kambodscha</t>
  </si>
  <si>
    <t xml:space="preserve">Cambogia </t>
  </si>
  <si>
    <t xml:space="preserve">Cambodia </t>
  </si>
  <si>
    <t>Camboya</t>
  </si>
  <si>
    <t>Cambodge</t>
  </si>
  <si>
    <t>.ki</t>
  </si>
  <si>
    <t>KI</t>
  </si>
  <si>
    <t xml:space="preserve">Kiribati </t>
  </si>
  <si>
    <t>.kn</t>
  </si>
  <si>
    <t>KN</t>
  </si>
  <si>
    <t>St. Kitts und Nevis</t>
  </si>
  <si>
    <t xml:space="preserve">Saint Kitts e Nevis </t>
  </si>
  <si>
    <t xml:space="preserve">Saint Kitts and Nevis </t>
  </si>
  <si>
    <t>San Cristóbal y Nieves</t>
  </si>
  <si>
    <t>Saint-Kitts-et-Nevis</t>
  </si>
  <si>
    <t>.kr</t>
  </si>
  <si>
    <t>KR</t>
  </si>
  <si>
    <t>Korea, Republik (Südkorea)</t>
  </si>
  <si>
    <t xml:space="preserve">Corea del Sud </t>
  </si>
  <si>
    <t xml:space="preserve">Korea, Republic of </t>
  </si>
  <si>
    <t>Corea del Sur</t>
  </si>
  <si>
    <t>Corée du Sud</t>
  </si>
  <si>
    <t>.kw</t>
  </si>
  <si>
    <t>KW</t>
  </si>
  <si>
    <t xml:space="preserve">Kuwait </t>
  </si>
  <si>
    <t>Koweït</t>
  </si>
  <si>
    <t>.la</t>
  </si>
  <si>
    <t>LA</t>
  </si>
  <si>
    <t>Laos, Demokratische Volksrepublik</t>
  </si>
  <si>
    <t xml:space="preserve">Laos </t>
  </si>
  <si>
    <t xml:space="preserve">Lao People's Democratic Republic </t>
  </si>
  <si>
    <t>Laos</t>
  </si>
  <si>
    <t>.lb</t>
  </si>
  <si>
    <t>LB</t>
  </si>
  <si>
    <t>Libanon</t>
  </si>
  <si>
    <t xml:space="preserve">Libano </t>
  </si>
  <si>
    <t xml:space="preserve">Lebanon </t>
  </si>
  <si>
    <t>Líbano</t>
  </si>
  <si>
    <t>Liban</t>
  </si>
  <si>
    <t>.lr</t>
  </si>
  <si>
    <t>LR</t>
  </si>
  <si>
    <t xml:space="preserve">Liberia </t>
  </si>
  <si>
    <t>Libéria</t>
  </si>
  <si>
    <t>.ly</t>
  </si>
  <si>
    <t>LY</t>
  </si>
  <si>
    <t>Libyen</t>
  </si>
  <si>
    <t xml:space="preserve">Libia </t>
  </si>
  <si>
    <t xml:space="preserve">Libya </t>
  </si>
  <si>
    <t>Libia</t>
  </si>
  <si>
    <t>Libye</t>
  </si>
  <si>
    <t>.lc</t>
  </si>
  <si>
    <t>LC</t>
  </si>
  <si>
    <t xml:space="preserve">Santa Lucia </t>
  </si>
  <si>
    <t xml:space="preserve">Saint Lucia </t>
  </si>
  <si>
    <t>Santa Lucía</t>
  </si>
  <si>
    <t>Sainte-Lucie</t>
  </si>
  <si>
    <t>.li</t>
  </si>
  <si>
    <t>LI</t>
  </si>
  <si>
    <t xml:space="preserve">Liechtenstein </t>
  </si>
  <si>
    <t>.lk</t>
  </si>
  <si>
    <t>LK</t>
  </si>
  <si>
    <t xml:space="preserve">Sri Lanka </t>
  </si>
  <si>
    <t>.ls</t>
  </si>
  <si>
    <t>LS</t>
  </si>
  <si>
    <t xml:space="preserve">Lesotho </t>
  </si>
  <si>
    <t>Lesoto</t>
  </si>
  <si>
    <t>.lt</t>
  </si>
  <si>
    <t>LT</t>
  </si>
  <si>
    <t>Litauen</t>
  </si>
  <si>
    <t xml:space="preserve">Lituania </t>
  </si>
  <si>
    <t xml:space="preserve">Lithuania </t>
  </si>
  <si>
    <t>Lituania</t>
  </si>
  <si>
    <t>Lituanie</t>
  </si>
  <si>
    <t>.lu</t>
  </si>
  <si>
    <t>LU</t>
  </si>
  <si>
    <t>Luxemburg</t>
  </si>
  <si>
    <t xml:space="preserve">Lussemburgo </t>
  </si>
  <si>
    <t xml:space="preserve">Luxembourg </t>
  </si>
  <si>
    <t>Luxemburgo</t>
  </si>
  <si>
    <t>.lv</t>
  </si>
  <si>
    <t>LV</t>
  </si>
  <si>
    <t>Lettland</t>
  </si>
  <si>
    <t xml:space="preserve">Lettonia </t>
  </si>
  <si>
    <t xml:space="preserve">Latvia </t>
  </si>
  <si>
    <t>Letonia</t>
  </si>
  <si>
    <t>Lettonie</t>
  </si>
  <si>
    <t>.mo</t>
  </si>
  <si>
    <t>MO</t>
  </si>
  <si>
    <t>Macao</t>
  </si>
  <si>
    <t xml:space="preserve">Macao </t>
  </si>
  <si>
    <t>.gp</t>
  </si>
  <si>
    <t>MF</t>
  </si>
  <si>
    <t>Saint-Martin (franz. Teil)</t>
  </si>
  <si>
    <t xml:space="preserve">Saint-Martin </t>
  </si>
  <si>
    <t xml:space="preserve">Saint Martin (French part) </t>
  </si>
  <si>
    <t>San Martín</t>
  </si>
  <si>
    <t>Saint-Martin</t>
  </si>
  <si>
    <t>.ma</t>
  </si>
  <si>
    <t>MA</t>
  </si>
  <si>
    <t>Marokko</t>
  </si>
  <si>
    <t xml:space="preserve">Marocco </t>
  </si>
  <si>
    <t xml:space="preserve">Morocco </t>
  </si>
  <si>
    <t>Marruecos</t>
  </si>
  <si>
    <t>Maroc</t>
  </si>
  <si>
    <t>.mc</t>
  </si>
  <si>
    <t>MC</t>
  </si>
  <si>
    <t xml:space="preserve">di Monaco Monaco </t>
  </si>
  <si>
    <t xml:space="preserve">Monaco </t>
  </si>
  <si>
    <t>Mónaco</t>
  </si>
  <si>
    <t>.md</t>
  </si>
  <si>
    <t>MD</t>
  </si>
  <si>
    <t>Moldawien (Republik Moldau)</t>
  </si>
  <si>
    <t xml:space="preserve">Moldavia </t>
  </si>
  <si>
    <t xml:space="preserve">Moldova, Republic of </t>
  </si>
  <si>
    <t>Moldavia</t>
  </si>
  <si>
    <t>Moldavie</t>
  </si>
  <si>
    <t>.mg</t>
  </si>
  <si>
    <t>MG</t>
  </si>
  <si>
    <t>Madagaskar</t>
  </si>
  <si>
    <t xml:space="preserve">Madagascar </t>
  </si>
  <si>
    <t>.mv</t>
  </si>
  <si>
    <t>MV</t>
  </si>
  <si>
    <t>Malediven</t>
  </si>
  <si>
    <t xml:space="preserve">Maldive </t>
  </si>
  <si>
    <t xml:space="preserve">Maldives </t>
  </si>
  <si>
    <t>Maldivas</t>
  </si>
  <si>
    <t>.mx</t>
  </si>
  <si>
    <t>MX</t>
  </si>
  <si>
    <t>Mexiko</t>
  </si>
  <si>
    <t xml:space="preserve">Messico </t>
  </si>
  <si>
    <t xml:space="preserve">Mexico </t>
  </si>
  <si>
    <t>México</t>
  </si>
  <si>
    <t>Mexique</t>
  </si>
  <si>
    <t>.mh</t>
  </si>
  <si>
    <t>MH</t>
  </si>
  <si>
    <t>Marshallinseln</t>
  </si>
  <si>
    <t xml:space="preserve">Isole Marshall </t>
  </si>
  <si>
    <t xml:space="preserve">Marshall Islands </t>
  </si>
  <si>
    <t>Islas Marshall</t>
  </si>
  <si>
    <t>Îles Marshall</t>
  </si>
  <si>
    <t>.mk</t>
  </si>
  <si>
    <t>MK</t>
  </si>
  <si>
    <t>Mazedonien</t>
  </si>
  <si>
    <t xml:space="preserve">Repubblica di Macedonia </t>
  </si>
  <si>
    <t xml:space="preserve">Macedonia, The Former Yugoslav Republic of </t>
  </si>
  <si>
    <t>República de Macedonia</t>
  </si>
  <si>
    <t>Macédoine</t>
  </si>
  <si>
    <t>.ml</t>
  </si>
  <si>
    <t>ML</t>
  </si>
  <si>
    <t xml:space="preserve">Mali </t>
  </si>
  <si>
    <t>Malí</t>
  </si>
  <si>
    <t>.mt</t>
  </si>
  <si>
    <t>MT</t>
  </si>
  <si>
    <t xml:space="preserve">Malta </t>
  </si>
  <si>
    <t>Malte</t>
  </si>
  <si>
    <t>.mm</t>
  </si>
  <si>
    <t>MM</t>
  </si>
  <si>
    <t>Myanmar (Burma)</t>
  </si>
  <si>
    <t xml:space="preserve">Birmania </t>
  </si>
  <si>
    <t xml:space="preserve">Myanmar </t>
  </si>
  <si>
    <t>Birmania</t>
  </si>
  <si>
    <t>.me</t>
  </si>
  <si>
    <t>ME</t>
  </si>
  <si>
    <t xml:space="preserve">Montenegro </t>
  </si>
  <si>
    <t>Monténégro</t>
  </si>
  <si>
    <t>.mn</t>
  </si>
  <si>
    <t>MN</t>
  </si>
  <si>
    <t>Mongolei</t>
  </si>
  <si>
    <t xml:space="preserve">Mongolia </t>
  </si>
  <si>
    <t>Mongolie</t>
  </si>
  <si>
    <t>.mp</t>
  </si>
  <si>
    <t>MP</t>
  </si>
  <si>
    <t>Nördliche Marianen</t>
  </si>
  <si>
    <t xml:space="preserve">Isole Marianne Settentrionali </t>
  </si>
  <si>
    <t xml:space="preserve">Northern Mariana Islands </t>
  </si>
  <si>
    <t>Islas Marianas del Norte</t>
  </si>
  <si>
    <t>Îles Mariannes du Nord</t>
  </si>
  <si>
    <t>.mz</t>
  </si>
  <si>
    <t>MZ</t>
  </si>
  <si>
    <t>Mosambik</t>
  </si>
  <si>
    <t xml:space="preserve">Mozambico </t>
  </si>
  <si>
    <t xml:space="preserve">Mozambique </t>
  </si>
  <si>
    <t>.mr</t>
  </si>
  <si>
    <t>MR</t>
  </si>
  <si>
    <t>Mauretanien</t>
  </si>
  <si>
    <t xml:space="preserve">Mauritania </t>
  </si>
  <si>
    <t>Mauritanie</t>
  </si>
  <si>
    <t>.mu</t>
  </si>
  <si>
    <t>MU</t>
  </si>
  <si>
    <t xml:space="preserve">Mauritius </t>
  </si>
  <si>
    <t>Mauricio</t>
  </si>
  <si>
    <t>Île Maurice</t>
  </si>
  <si>
    <t>.mw</t>
  </si>
  <si>
    <t>MW</t>
  </si>
  <si>
    <t xml:space="preserve">Malawi </t>
  </si>
  <si>
    <t>Malaui</t>
  </si>
  <si>
    <t>.my</t>
  </si>
  <si>
    <t>MY</t>
  </si>
  <si>
    <t xml:space="preserve">Malesia </t>
  </si>
  <si>
    <t xml:space="preserve">Malaysia </t>
  </si>
  <si>
    <t>Malasia</t>
  </si>
  <si>
    <t>Malaysie</t>
  </si>
  <si>
    <t>.na</t>
  </si>
  <si>
    <t>NA</t>
  </si>
  <si>
    <t xml:space="preserve">Namibia </t>
  </si>
  <si>
    <t>Namibie</t>
  </si>
  <si>
    <t>.nc</t>
  </si>
  <si>
    <t>NC</t>
  </si>
  <si>
    <t>Neukaledonien</t>
  </si>
  <si>
    <t xml:space="preserve">Nuova Caledonia </t>
  </si>
  <si>
    <t xml:space="preserve">New Caledonia </t>
  </si>
  <si>
    <t>Nueva Caledonia</t>
  </si>
  <si>
    <t>Nouvelle-Calédonie</t>
  </si>
  <si>
    <t>.ne</t>
  </si>
  <si>
    <t>NE</t>
  </si>
  <si>
    <t xml:space="preserve">Niger </t>
  </si>
  <si>
    <t>Níger</t>
  </si>
  <si>
    <t>.ng</t>
  </si>
  <si>
    <t>NG</t>
  </si>
  <si>
    <t xml:space="preserve">Nigeria </t>
  </si>
  <si>
    <t>Nigéria</t>
  </si>
  <si>
    <t>.ni</t>
  </si>
  <si>
    <t>NI</t>
  </si>
  <si>
    <t xml:space="preserve">Nicaragua </t>
  </si>
  <si>
    <t>.nl</t>
  </si>
  <si>
    <t>NL</t>
  </si>
  <si>
    <t>Niederlande</t>
  </si>
  <si>
    <t xml:space="preserve">Paesi Bassi </t>
  </si>
  <si>
    <t xml:space="preserve">Netherlands </t>
  </si>
  <si>
    <t>Países Bajos</t>
  </si>
  <si>
    <t>Pays-Bas</t>
  </si>
  <si>
    <t>.no</t>
  </si>
  <si>
    <t>NO</t>
  </si>
  <si>
    <t>Norwegen</t>
  </si>
  <si>
    <t xml:space="preserve">Norvegia </t>
  </si>
  <si>
    <t xml:space="preserve">Norway </t>
  </si>
  <si>
    <t>Noruega</t>
  </si>
  <si>
    <t>Norvège</t>
  </si>
  <si>
    <t>.np</t>
  </si>
  <si>
    <t>NP</t>
  </si>
  <si>
    <t xml:space="preserve">Nepal </t>
  </si>
  <si>
    <t>Népal</t>
  </si>
  <si>
    <t>.nr</t>
  </si>
  <si>
    <t>NR</t>
  </si>
  <si>
    <t xml:space="preserve">Nauru </t>
  </si>
  <si>
    <t>.nz</t>
  </si>
  <si>
    <t>NZ</t>
  </si>
  <si>
    <t>Neuseeland</t>
  </si>
  <si>
    <t xml:space="preserve">Nuova Zelanda </t>
  </si>
  <si>
    <t xml:space="preserve">New Zealand </t>
  </si>
  <si>
    <t>Nueva Zelanda</t>
  </si>
  <si>
    <t>Nouvelle Zélande</t>
  </si>
  <si>
    <t>.om</t>
  </si>
  <si>
    <t>OM</t>
  </si>
  <si>
    <t xml:space="preserve">Oman </t>
  </si>
  <si>
    <t>Omán</t>
  </si>
  <si>
    <t>.pk</t>
  </si>
  <si>
    <t>PK</t>
  </si>
  <si>
    <t xml:space="preserve">Pakistan </t>
  </si>
  <si>
    <t>Pakistán</t>
  </si>
  <si>
    <t>.pa</t>
  </si>
  <si>
    <t>PA</t>
  </si>
  <si>
    <t xml:space="preserve">Panamá </t>
  </si>
  <si>
    <t xml:space="preserve">Panama </t>
  </si>
  <si>
    <t>Panamá</t>
  </si>
  <si>
    <t>.pe</t>
  </si>
  <si>
    <t>PE</t>
  </si>
  <si>
    <t xml:space="preserve">Perù </t>
  </si>
  <si>
    <t xml:space="preserve">Peru </t>
  </si>
  <si>
    <t>Perú</t>
  </si>
  <si>
    <t>Pérou</t>
  </si>
  <si>
    <t>.ph</t>
  </si>
  <si>
    <t>PH</t>
  </si>
  <si>
    <t>Philippinen</t>
  </si>
  <si>
    <t xml:space="preserve">Filippine </t>
  </si>
  <si>
    <t xml:space="preserve">Philippines </t>
  </si>
  <si>
    <t>Filipinas</t>
  </si>
  <si>
    <t>.pw</t>
  </si>
  <si>
    <t>PW</t>
  </si>
  <si>
    <t xml:space="preserve">Palau </t>
  </si>
  <si>
    <t>Palaos</t>
  </si>
  <si>
    <t>.pg</t>
  </si>
  <si>
    <t>PG</t>
  </si>
  <si>
    <t>Papua-Neuguinea</t>
  </si>
  <si>
    <t xml:space="preserve">Papua Nuova Guinea </t>
  </si>
  <si>
    <t xml:space="preserve">Papua New Guinea </t>
  </si>
  <si>
    <t>Papúa Nueva Guinea</t>
  </si>
  <si>
    <t>Papouasie-Nouvelle-Guinée</t>
  </si>
  <si>
    <t>.pl</t>
  </si>
  <si>
    <t>PL</t>
  </si>
  <si>
    <t>Polen</t>
  </si>
  <si>
    <t xml:space="preserve">Polonia </t>
  </si>
  <si>
    <t xml:space="preserve">Poland </t>
  </si>
  <si>
    <t>Polonia</t>
  </si>
  <si>
    <t>Pologne</t>
  </si>
  <si>
    <t>.pr</t>
  </si>
  <si>
    <t>PR</t>
  </si>
  <si>
    <t xml:space="preserve">Porto Rico </t>
  </si>
  <si>
    <t xml:space="preserve">Puerto Rico </t>
  </si>
  <si>
    <t>.kp</t>
  </si>
  <si>
    <t>KP</t>
  </si>
  <si>
    <t>Korea, Demokratische Volksrepublik (Nordkorea)</t>
  </si>
  <si>
    <t xml:space="preserve">Corea del Nord </t>
  </si>
  <si>
    <t xml:space="preserve">Korea, Democratic People's Republic of </t>
  </si>
  <si>
    <t>Corea del Norte</t>
  </si>
  <si>
    <t>Corée du Nord</t>
  </si>
  <si>
    <t>.pt</t>
  </si>
  <si>
    <t>PT</t>
  </si>
  <si>
    <t xml:space="preserve">Portogallo </t>
  </si>
  <si>
    <t xml:space="preserve">Portugal </t>
  </si>
  <si>
    <t>.py</t>
  </si>
  <si>
    <t>PY</t>
  </si>
  <si>
    <t xml:space="preserve">Paraguay </t>
  </si>
  <si>
    <t>.ps</t>
  </si>
  <si>
    <t>PS</t>
  </si>
  <si>
    <t>Palästinensische Autonomiegebiete</t>
  </si>
  <si>
    <t xml:space="preserve">Palestina </t>
  </si>
  <si>
    <t xml:space="preserve">Palestinian Territory, Occupied </t>
  </si>
  <si>
    <t>Autoridad Nacional Palestina</t>
  </si>
  <si>
    <t>Territoire Palestinien</t>
  </si>
  <si>
    <t>.pf</t>
  </si>
  <si>
    <t>PF</t>
  </si>
  <si>
    <t>Französisch-Polynesien</t>
  </si>
  <si>
    <t xml:space="preserve">Polinesia francese </t>
  </si>
  <si>
    <t xml:space="preserve">French Polynesia </t>
  </si>
  <si>
    <t>Polinesia Francesa</t>
  </si>
  <si>
    <t>Polynésie française</t>
  </si>
  <si>
    <t>.qa</t>
  </si>
  <si>
    <t>QA</t>
  </si>
  <si>
    <t>Katar</t>
  </si>
  <si>
    <t xml:space="preserve">Qatar </t>
  </si>
  <si>
    <t>Catar</t>
  </si>
  <si>
    <t>.ro</t>
  </si>
  <si>
    <t>RO</t>
  </si>
  <si>
    <t>Rumänien</t>
  </si>
  <si>
    <t xml:space="preserve">Romania </t>
  </si>
  <si>
    <t>Rumania</t>
  </si>
  <si>
    <t>Roumanie</t>
  </si>
  <si>
    <t>.ru</t>
  </si>
  <si>
    <t>RU</t>
  </si>
  <si>
    <t>Russische Föderation</t>
  </si>
  <si>
    <t xml:space="preserve">Russia </t>
  </si>
  <si>
    <t xml:space="preserve">Russian Federation </t>
  </si>
  <si>
    <t>Rusia</t>
  </si>
  <si>
    <t>Russie</t>
  </si>
  <si>
    <t>.rw</t>
  </si>
  <si>
    <t>RW</t>
  </si>
  <si>
    <t>Ruanda</t>
  </si>
  <si>
    <t xml:space="preserve">Ruanda </t>
  </si>
  <si>
    <t xml:space="preserve">Rwanda </t>
  </si>
  <si>
    <t>.sa</t>
  </si>
  <si>
    <t>SA</t>
  </si>
  <si>
    <t>Saudi-Arabien</t>
  </si>
  <si>
    <t xml:space="preserve">Arabia Saudita </t>
  </si>
  <si>
    <t xml:space="preserve">Saudi Arabia </t>
  </si>
  <si>
    <t>Arabia Saudita Arabia Saudita</t>
  </si>
  <si>
    <t>Arabie Saoudite</t>
  </si>
  <si>
    <t>.sd</t>
  </si>
  <si>
    <t>SD</t>
  </si>
  <si>
    <t xml:space="preserve">Sudan </t>
  </si>
  <si>
    <t>Sudán</t>
  </si>
  <si>
    <t>Soudan</t>
  </si>
  <si>
    <t>.sn</t>
  </si>
  <si>
    <t>SN</t>
  </si>
  <si>
    <t xml:space="preserve">Senegal </t>
  </si>
  <si>
    <t>Sénégal</t>
  </si>
  <si>
    <t>.sg</t>
  </si>
  <si>
    <t>SG</t>
  </si>
  <si>
    <t>Singapur</t>
  </si>
  <si>
    <t xml:space="preserve">Singapore </t>
  </si>
  <si>
    <t>Singapour</t>
  </si>
  <si>
    <t>.sb</t>
  </si>
  <si>
    <t>SB</t>
  </si>
  <si>
    <t>Salomonen</t>
  </si>
  <si>
    <t xml:space="preserve">Isole Salomone </t>
  </si>
  <si>
    <t xml:space="preserve">Solomon Islands </t>
  </si>
  <si>
    <t>Islas Salomón</t>
  </si>
  <si>
    <t>Îles Salomon</t>
  </si>
  <si>
    <t>.sl</t>
  </si>
  <si>
    <t>SL</t>
  </si>
  <si>
    <t xml:space="preserve">Sierra Leone </t>
  </si>
  <si>
    <t>Sierra Leona</t>
  </si>
  <si>
    <t>.sv</t>
  </si>
  <si>
    <t>SV</t>
  </si>
  <si>
    <t xml:space="preserve">El Salvador </t>
  </si>
  <si>
    <t>Le Salvador</t>
  </si>
  <si>
    <t>.sm</t>
  </si>
  <si>
    <t>SM</t>
  </si>
  <si>
    <t xml:space="preserve">San Marino </t>
  </si>
  <si>
    <t>San Marin</t>
  </si>
  <si>
    <t>.so</t>
  </si>
  <si>
    <t>SO</t>
  </si>
  <si>
    <t xml:space="preserve">Somalia </t>
  </si>
  <si>
    <t>Somalie</t>
  </si>
  <si>
    <t>.rs</t>
  </si>
  <si>
    <t>RS</t>
  </si>
  <si>
    <t>Serbien</t>
  </si>
  <si>
    <t xml:space="preserve">Serbia </t>
  </si>
  <si>
    <t>Serbie</t>
  </si>
  <si>
    <t>SS</t>
  </si>
  <si>
    <t>Südsudan</t>
  </si>
  <si>
    <t xml:space="preserve">Sudan del Sud </t>
  </si>
  <si>
    <t xml:space="preserve">South Sudan </t>
  </si>
  <si>
    <t>Sudán del Sur</t>
  </si>
  <si>
    <t>Soudan du Sud</t>
  </si>
  <si>
    <t>.st</t>
  </si>
  <si>
    <t>ST</t>
  </si>
  <si>
    <t>São Tomé und Príncipe</t>
  </si>
  <si>
    <t xml:space="preserve">São Tomé e Príncipe </t>
  </si>
  <si>
    <t xml:space="preserve">Sao Tome and Principe </t>
  </si>
  <si>
    <t>Santo Tomé y Príncipe</t>
  </si>
  <si>
    <t>Sao Tomé-et-Principe</t>
  </si>
  <si>
    <t>.sr</t>
  </si>
  <si>
    <t>SR</t>
  </si>
  <si>
    <t xml:space="preserve">Suriname </t>
  </si>
  <si>
    <t>Surinam</t>
  </si>
  <si>
    <t>.sk</t>
  </si>
  <si>
    <t>SK</t>
  </si>
  <si>
    <t>Slowakei</t>
  </si>
  <si>
    <t xml:space="preserve">Slovacchia </t>
  </si>
  <si>
    <t xml:space="preserve">Slovakia </t>
  </si>
  <si>
    <t>Eslovaquia</t>
  </si>
  <si>
    <t>Slovaquie</t>
  </si>
  <si>
    <t>.si</t>
  </si>
  <si>
    <t>SI</t>
  </si>
  <si>
    <t>Slowenien</t>
  </si>
  <si>
    <t xml:space="preserve">Slovenia </t>
  </si>
  <si>
    <t>Eslovenia</t>
  </si>
  <si>
    <t>Slovénie</t>
  </si>
  <si>
    <t>.se</t>
  </si>
  <si>
    <t>SE</t>
  </si>
  <si>
    <t>Schweden</t>
  </si>
  <si>
    <t xml:space="preserve">Svezia </t>
  </si>
  <si>
    <t xml:space="preserve">Sweden </t>
  </si>
  <si>
    <t>Suecia</t>
  </si>
  <si>
    <t>Suède</t>
  </si>
  <si>
    <t>.sz</t>
  </si>
  <si>
    <t>SZ</t>
  </si>
  <si>
    <t>Swasiland</t>
  </si>
  <si>
    <t xml:space="preserve">Swaziland </t>
  </si>
  <si>
    <t>Suazilandia</t>
  </si>
  <si>
    <t>.sx</t>
  </si>
  <si>
    <t>SX</t>
  </si>
  <si>
    <t>Sint Maarten (niederl. Teil)</t>
  </si>
  <si>
    <t xml:space="preserve">Sint Maarten </t>
  </si>
  <si>
    <t xml:space="preserve">Sint Maarten (Dutch part) </t>
  </si>
  <si>
    <t>Sint Maarten</t>
  </si>
  <si>
    <t>.sc</t>
  </si>
  <si>
    <t>SC</t>
  </si>
  <si>
    <t>Seychellen</t>
  </si>
  <si>
    <t xml:space="preserve">Seychelles </t>
  </si>
  <si>
    <t>.sy</t>
  </si>
  <si>
    <t>SY</t>
  </si>
  <si>
    <t>Syrien, Arabische Republik</t>
  </si>
  <si>
    <t xml:space="preserve">Siria </t>
  </si>
  <si>
    <t xml:space="preserve">Syrian Arab Republic </t>
  </si>
  <si>
    <t>Siria</t>
  </si>
  <si>
    <t>Syrie</t>
  </si>
  <si>
    <t>.tc</t>
  </si>
  <si>
    <t>TC</t>
  </si>
  <si>
    <t>Turks- und Caicosinseln</t>
  </si>
  <si>
    <t xml:space="preserve">Turks e Caicos </t>
  </si>
  <si>
    <t xml:space="preserve">Turks and Caicos Islands </t>
  </si>
  <si>
    <t>Islas Turcas y Caicos</t>
  </si>
  <si>
    <t>Îles Turques et Caïques</t>
  </si>
  <si>
    <t>.td</t>
  </si>
  <si>
    <t>TD</t>
  </si>
  <si>
    <t>Tschad</t>
  </si>
  <si>
    <t xml:space="preserve">Ciad </t>
  </si>
  <si>
    <t xml:space="preserve">Chad </t>
  </si>
  <si>
    <t>Tchad</t>
  </si>
  <si>
    <t>.tg</t>
  </si>
  <si>
    <t>TG</t>
  </si>
  <si>
    <t xml:space="preserve">Togo </t>
  </si>
  <si>
    <t>.th</t>
  </si>
  <si>
    <t>TH</t>
  </si>
  <si>
    <t xml:space="preserve">Thailandia </t>
  </si>
  <si>
    <t xml:space="preserve">Thailand </t>
  </si>
  <si>
    <t>Tailandia</t>
  </si>
  <si>
    <t>Thaïlande</t>
  </si>
  <si>
    <t>.tj</t>
  </si>
  <si>
    <t>TJ</t>
  </si>
  <si>
    <t>Tadschikistan</t>
  </si>
  <si>
    <t xml:space="preserve">Tagikistan </t>
  </si>
  <si>
    <t xml:space="preserve">Tajikistan </t>
  </si>
  <si>
    <t>Tayikistán</t>
  </si>
  <si>
    <t>.tm</t>
  </si>
  <si>
    <t>TM</t>
  </si>
  <si>
    <t xml:space="preserve">Turkmenistan </t>
  </si>
  <si>
    <t>Turkmenistán</t>
  </si>
  <si>
    <t>Turkménistan</t>
  </si>
  <si>
    <t>.tl</t>
  </si>
  <si>
    <t>TL</t>
  </si>
  <si>
    <t>Osttimor (Timor-Leste)</t>
  </si>
  <si>
    <t xml:space="preserve">Timor Est </t>
  </si>
  <si>
    <t xml:space="preserve">Timor-Leste </t>
  </si>
  <si>
    <t>Timor Oriental</t>
  </si>
  <si>
    <t>Timor oriental</t>
  </si>
  <si>
    <t>.to</t>
  </si>
  <si>
    <t>TO</t>
  </si>
  <si>
    <t xml:space="preserve">Tonga </t>
  </si>
  <si>
    <t>.tt</t>
  </si>
  <si>
    <t>TT</t>
  </si>
  <si>
    <t>Trinidad und Tobago</t>
  </si>
  <si>
    <t xml:space="preserve">Trinidad e Tobago </t>
  </si>
  <si>
    <t xml:space="preserve">Trinidad and Tobago </t>
  </si>
  <si>
    <t>Trinidad y Tobago</t>
  </si>
  <si>
    <t>Trinité et Tobago</t>
  </si>
  <si>
    <t>.tn</t>
  </si>
  <si>
    <t>TN</t>
  </si>
  <si>
    <t>Tunesien</t>
  </si>
  <si>
    <t xml:space="preserve">Tunisia </t>
  </si>
  <si>
    <t>Túnez</t>
  </si>
  <si>
    <t>Tunisie</t>
  </si>
  <si>
    <t>.tr</t>
  </si>
  <si>
    <t>TR</t>
  </si>
  <si>
    <t>Türkei</t>
  </si>
  <si>
    <t xml:space="preserve">Turchia </t>
  </si>
  <si>
    <t xml:space="preserve">Turkey </t>
  </si>
  <si>
    <t>Turquía</t>
  </si>
  <si>
    <t>Turquie</t>
  </si>
  <si>
    <t>.tv</t>
  </si>
  <si>
    <t>TV</t>
  </si>
  <si>
    <t xml:space="preserve">Tuvalu </t>
  </si>
  <si>
    <t>.tz</t>
  </si>
  <si>
    <t>TZ</t>
  </si>
  <si>
    <t>Tansania, Vereinigte Republik</t>
  </si>
  <si>
    <t xml:space="preserve">Tanzania </t>
  </si>
  <si>
    <t xml:space="preserve">Tanzania, United Republic of </t>
  </si>
  <si>
    <t>Tanzanie</t>
  </si>
  <si>
    <t>.ug</t>
  </si>
  <si>
    <t>UG</t>
  </si>
  <si>
    <t xml:space="preserve">Uganda </t>
  </si>
  <si>
    <t>Ouganda</t>
  </si>
  <si>
    <t>.ua</t>
  </si>
  <si>
    <t>UA</t>
  </si>
  <si>
    <t xml:space="preserve">Ucraina </t>
  </si>
  <si>
    <t xml:space="preserve">Ukraine </t>
  </si>
  <si>
    <t>Ucrania</t>
  </si>
  <si>
    <t>.uy</t>
  </si>
  <si>
    <t>UY</t>
  </si>
  <si>
    <t xml:space="preserve">Uruguay </t>
  </si>
  <si>
    <t>.us</t>
  </si>
  <si>
    <t>US</t>
  </si>
  <si>
    <t>Vereinigte Staaten von Amerika</t>
  </si>
  <si>
    <t xml:space="preserve">Stati Uniti d'America </t>
  </si>
  <si>
    <t xml:space="preserve">United States </t>
  </si>
  <si>
    <t>Estados Unidos</t>
  </si>
  <si>
    <t>États-Unis (USA)</t>
  </si>
  <si>
    <t>.uz</t>
  </si>
  <si>
    <t>UZ</t>
  </si>
  <si>
    <t>Usbekistan</t>
  </si>
  <si>
    <t xml:space="preserve">Uzbekistan </t>
  </si>
  <si>
    <t>Uzbekistán</t>
  </si>
  <si>
    <t>Ouzbékistan</t>
  </si>
  <si>
    <t>.vc</t>
  </si>
  <si>
    <t>VC</t>
  </si>
  <si>
    <t>St. Vincent und die Grenadinen</t>
  </si>
  <si>
    <t xml:space="preserve">Saint Vincent e Grenadine </t>
  </si>
  <si>
    <t xml:space="preserve">Saint Vincent and the Grenadines </t>
  </si>
  <si>
    <t>San Vicente y las Granadinas</t>
  </si>
  <si>
    <t>Saint-Vincent-et-les-Grenadines</t>
  </si>
  <si>
    <t>.ve</t>
  </si>
  <si>
    <t>VE</t>
  </si>
  <si>
    <t>Venezuela</t>
  </si>
  <si>
    <t xml:space="preserve">Venezuela </t>
  </si>
  <si>
    <t xml:space="preserve">Venezuela, Bolivarian Republic of </t>
  </si>
  <si>
    <t>Vénézuela</t>
  </si>
  <si>
    <t>.vg</t>
  </si>
  <si>
    <t>VG</t>
  </si>
  <si>
    <t>Britische Jungferninseln</t>
  </si>
  <si>
    <t xml:space="preserve">Isole Vergini britanniche </t>
  </si>
  <si>
    <t xml:space="preserve">Virgin Islands, British </t>
  </si>
  <si>
    <t>Islas Vírgenes Británicas</t>
  </si>
  <si>
    <t>Îles Vierges britanniques</t>
  </si>
  <si>
    <t>.vi</t>
  </si>
  <si>
    <t>VI</t>
  </si>
  <si>
    <t>Amerikanische Jungferninseln</t>
  </si>
  <si>
    <t xml:space="preserve">Isole Vergini americane </t>
  </si>
  <si>
    <t xml:space="preserve">Virgin Islands, U.S. </t>
  </si>
  <si>
    <t>Islas Vírgenes de los Estados Unidos</t>
  </si>
  <si>
    <t>Îles Vierges des États-Unis</t>
  </si>
  <si>
    <t>.vn</t>
  </si>
  <si>
    <t>VN</t>
  </si>
  <si>
    <t xml:space="preserve">Vietnam </t>
  </si>
  <si>
    <t xml:space="preserve">Viet Nam </t>
  </si>
  <si>
    <t>.vu</t>
  </si>
  <si>
    <t>VU</t>
  </si>
  <si>
    <t xml:space="preserve">Vanuatu </t>
  </si>
  <si>
    <t>.ws</t>
  </si>
  <si>
    <t>WS</t>
  </si>
  <si>
    <t xml:space="preserve">Samoa </t>
  </si>
  <si>
    <t>XK</t>
  </si>
  <si>
    <t>.ye</t>
  </si>
  <si>
    <t>YE</t>
  </si>
  <si>
    <t>Jemen</t>
  </si>
  <si>
    <t xml:space="preserve">Yemen </t>
  </si>
  <si>
    <t>Yemen</t>
  </si>
  <si>
    <t>.za</t>
  </si>
  <si>
    <t>ZA</t>
  </si>
  <si>
    <t>Südafrika</t>
  </si>
  <si>
    <t xml:space="preserve">Sudafrica </t>
  </si>
  <si>
    <t xml:space="preserve">South Africa </t>
  </si>
  <si>
    <t>Sudáfrica</t>
  </si>
  <si>
    <t>Afrique du Sud</t>
  </si>
  <si>
    <t>.zm</t>
  </si>
  <si>
    <t>ZM</t>
  </si>
  <si>
    <t>Sambia</t>
  </si>
  <si>
    <t xml:space="preserve">Zambia </t>
  </si>
  <si>
    <t>Zambie</t>
  </si>
  <si>
    <t>.zw</t>
  </si>
  <si>
    <t>ZW</t>
  </si>
  <si>
    <t>Simbabwe</t>
  </si>
  <si>
    <t xml:space="preserve">Zimbabwe </t>
  </si>
  <si>
    <t>Zimbabue</t>
  </si>
  <si>
    <t>Durchschnitt Afrika</t>
  </si>
  <si>
    <t>media Africa</t>
  </si>
  <si>
    <t>Media África</t>
  </si>
  <si>
    <t>Durchschnitt Amerika</t>
  </si>
  <si>
    <t>media America</t>
  </si>
  <si>
    <t>Media Américas</t>
  </si>
  <si>
    <t>Durchschnitt Asien</t>
  </si>
  <si>
    <t>media Asia</t>
  </si>
  <si>
    <t>Media Asia</t>
  </si>
  <si>
    <t>Durchschnitt Europa</t>
  </si>
  <si>
    <t>media Europa</t>
  </si>
  <si>
    <t>Media Europa</t>
  </si>
  <si>
    <t>Durchschnitt Ozeanien</t>
  </si>
  <si>
    <t>media Ozeania</t>
  </si>
  <si>
    <t>Media Oceanía</t>
  </si>
  <si>
    <t>Durchschnitt Welt</t>
  </si>
  <si>
    <t>media mondo</t>
  </si>
  <si>
    <t>Media Mundo</t>
  </si>
  <si>
    <t>provenienza prevalente del resto dei fornitori</t>
  </si>
  <si>
    <t>Origen predominante del resto de proveedores</t>
  </si>
  <si>
    <t>Welfare aziendale, retribuzione e organizzazione del lavoro</t>
  </si>
  <si>
    <t>Arab World</t>
  </si>
  <si>
    <t>Central Europe and the Baltics</t>
  </si>
  <si>
    <t>Channel Islands</t>
  </si>
  <si>
    <t>Caribbean small states</t>
  </si>
  <si>
    <t>East Asia &amp; Pacific (excluding high income)</t>
  </si>
  <si>
    <t>Early-demographic dividend</t>
  </si>
  <si>
    <t>East Asia &amp; Pacific</t>
  </si>
  <si>
    <t>Europe &amp; Central Asia (excluding high income)</t>
  </si>
  <si>
    <t>Europe &amp; Central Asia</t>
  </si>
  <si>
    <t>Euro area</t>
  </si>
  <si>
    <t>European Union</t>
  </si>
  <si>
    <t>Fragile and conflict affected situations</t>
  </si>
  <si>
    <t>High income</t>
  </si>
  <si>
    <t>Heavily indebted poor countries (HIPC)</t>
  </si>
  <si>
    <t>IBRD only</t>
  </si>
  <si>
    <t>IDA &amp; IBRD total</t>
  </si>
  <si>
    <t>IDA total</t>
  </si>
  <si>
    <t>IDA blend</t>
  </si>
  <si>
    <t>IDA only</t>
  </si>
  <si>
    <t>Not classified</t>
  </si>
  <si>
    <t>Latin America &amp; Caribbean (excluding high income)</t>
  </si>
  <si>
    <t>Latin America &amp; Caribbean</t>
  </si>
  <si>
    <t>Least developed countries: UN classification</t>
  </si>
  <si>
    <t>Low income</t>
  </si>
  <si>
    <t>Lower middle income</t>
  </si>
  <si>
    <t>Low &amp; middle income</t>
  </si>
  <si>
    <t>Late-demographic dividend</t>
  </si>
  <si>
    <t>Middle East &amp; North Africa</t>
  </si>
  <si>
    <t>Middle income</t>
  </si>
  <si>
    <t>Middle East &amp; North Africa (excluding high income)</t>
  </si>
  <si>
    <t>North America</t>
  </si>
  <si>
    <t>OECD members</t>
  </si>
  <si>
    <t>Other small states</t>
  </si>
  <si>
    <t>Pre-demographic dividend</t>
  </si>
  <si>
    <t>Pacific island small states</t>
  </si>
  <si>
    <t>Post-demographic dividend</t>
  </si>
  <si>
    <t>South Asia</t>
  </si>
  <si>
    <t>Sub-Saharan Africa (excluding high income)</t>
  </si>
  <si>
    <t>Sub-Saharan Africa</t>
  </si>
  <si>
    <t>Small states</t>
  </si>
  <si>
    <t>East Asia &amp; Pacific (IDA &amp; IBRD countries)</t>
  </si>
  <si>
    <t>Europe &amp; Central Asia (IDA &amp; IBRD countries)</t>
  </si>
  <si>
    <t>Latin America &amp; the Caribbean (IDA &amp; IBRD countries)</t>
  </si>
  <si>
    <t>Middle East &amp; North Africa (IDA &amp; IBRD countries)</t>
  </si>
  <si>
    <t>South Asia (IDA &amp; IBRD)</t>
  </si>
  <si>
    <t>Sub-Saharan Africa (IDA &amp; IBRD countries)</t>
  </si>
  <si>
    <t>Upper middle income</t>
  </si>
  <si>
    <t>Exchange Rate $ 2017</t>
  </si>
  <si>
    <t>ppp gdp conversion factor 2017</t>
  </si>
  <si>
    <t>Exchange Rate country 2017 (oanda)</t>
  </si>
  <si>
    <t>conversion factor</t>
  </si>
  <si>
    <t>Regional Estimate calculationen</t>
  </si>
  <si>
    <t>Select your language</t>
  </si>
  <si>
    <t xml:space="preserve">Gewichtung geändert. Ursprünglich </t>
  </si>
  <si>
    <t xml:space="preserve">Peso cambiato. Originale </t>
  </si>
  <si>
    <t xml:space="preserve">Weighting changed. Original </t>
  </si>
  <si>
    <t xml:space="preserve">Ponderación cambiada. Original </t>
  </si>
  <si>
    <t>PPP Factor</t>
  </si>
  <si>
    <t>ITUC</t>
  </si>
  <si>
    <t>Introduce value between 0 and 10</t>
  </si>
  <si>
    <t>Introduce negative points between 0 and -200</t>
  </si>
  <si>
    <t>fehlerhafte Eingabe</t>
  </si>
  <si>
    <t>Values are not consistent</t>
  </si>
  <si>
    <t>Los valores no son consistentes</t>
  </si>
  <si>
    <t xml:space="preserve"> Puntos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</si>
</sst>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 %"/>
    <numFmt numFmtId="165" formatCode="0.0"/>
    <numFmt numFmtId="166" formatCode="* #,##0.00\ ;\-* #,##0.00\ ;* \-#\ ;@\ "/>
    <numFmt numFmtId="167" formatCode="* #,##0\ ;\-* #,##0\ ;* \-#\ ;@\ "/>
    <numFmt numFmtId="168" formatCode="0.000"/>
    <numFmt numFmtId="169" formatCode="#,##0.0_ ;\-#,##0.0\ "/>
    <numFmt numFmtId="170" formatCode="* #,##0.0\ ;\-* #,##0.0\ ;* \-#\ ;@\ "/>
    <numFmt numFmtId="171" formatCode="#,##0.0"/>
    <numFmt numFmtId="172" formatCode="* #,##0.000\ ;\-* #,##0.000\ ;* \-#.0\ ;@\ "/>
  </numFmts>
  <fonts count="93">
    <font>
      <sz val="11"/>
      <color indexed="8"/>
      <name val="Calibri"/>
      <family val="2"/>
    </font>
    <font>
      <sz val="10"/>
      <name val="Arial"/>
    </font>
    <font>
      <sz val="10"/>
      <color indexed="9"/>
      <name val="Calibri"/>
      <family val="2"/>
    </font>
    <font>
      <b/>
      <sz val="10"/>
      <color indexed="8"/>
      <name val="Calibri"/>
      <family val="2"/>
    </font>
    <font>
      <sz val="10"/>
      <color indexed="16"/>
      <name val="Calibri"/>
      <family val="2"/>
    </font>
    <font>
      <b/>
      <sz val="10"/>
      <color indexed="9"/>
      <name val="Calibri"/>
      <family val="2"/>
    </font>
    <font>
      <i/>
      <sz val="10"/>
      <color indexed="23"/>
      <name val="Calibri"/>
      <family val="2"/>
    </font>
    <font>
      <sz val="10"/>
      <color indexed="58"/>
      <name val="Calibri"/>
      <family val="2"/>
    </font>
    <font>
      <sz val="18"/>
      <color indexed="8"/>
      <name val="Calibri"/>
      <family val="2"/>
    </font>
    <font>
      <sz val="12"/>
      <color indexed="8"/>
      <name val="Calibri"/>
      <family val="2"/>
    </font>
    <font>
      <b/>
      <sz val="24"/>
      <color indexed="8"/>
      <name val="Calibri"/>
      <family val="2"/>
    </font>
    <font>
      <sz val="10"/>
      <color indexed="63"/>
      <name val="Calibri"/>
      <family val="2"/>
    </font>
    <font>
      <sz val="11"/>
      <color indexed="8"/>
      <name val="Arial"/>
      <family val="2"/>
    </font>
    <font>
      <b/>
      <sz val="16"/>
      <color indexed="50"/>
      <name val="Arial"/>
      <family val="2"/>
    </font>
    <font>
      <b/>
      <sz val="11"/>
      <color indexed="63"/>
      <name val="Arial"/>
      <family val="2"/>
    </font>
    <font>
      <b/>
      <sz val="11"/>
      <color indexed="50"/>
      <name val="Arial"/>
      <family val="2"/>
    </font>
    <font>
      <sz val="11"/>
      <color indexed="63"/>
      <name val="Arial"/>
      <family val="2"/>
    </font>
    <font>
      <u/>
      <sz val="11"/>
      <color indexed="12"/>
      <name val="Calibri"/>
      <family val="2"/>
    </font>
    <font>
      <b/>
      <u/>
      <sz val="11"/>
      <name val="Arial"/>
      <family val="2"/>
    </font>
    <font>
      <b/>
      <u/>
      <sz val="11"/>
      <color indexed="8"/>
      <name val="Arial"/>
      <family val="2"/>
    </font>
    <font>
      <sz val="11"/>
      <name val="Arial"/>
      <family val="2"/>
    </font>
    <font>
      <sz val="11"/>
      <color indexed="50"/>
      <name val="Arial"/>
      <family val="2"/>
    </font>
    <font>
      <b/>
      <sz val="11"/>
      <color indexed="9"/>
      <name val="Arial"/>
      <family val="2"/>
    </font>
    <font>
      <sz val="16"/>
      <color indexed="8"/>
      <name val="Arial"/>
      <family val="2"/>
    </font>
    <font>
      <sz val="11"/>
      <color indexed="9"/>
      <name val="Arial"/>
      <family val="2"/>
    </font>
    <font>
      <b/>
      <sz val="11"/>
      <color indexed="8"/>
      <name val="Arial"/>
      <family val="2"/>
    </font>
    <font>
      <b/>
      <sz val="11"/>
      <color indexed="60"/>
      <name val="Arial"/>
      <family val="2"/>
    </font>
    <font>
      <sz val="8"/>
      <color indexed="8"/>
      <name val="Arial"/>
      <family val="2"/>
    </font>
    <font>
      <sz val="6"/>
      <color indexed="8"/>
      <name val="Arial"/>
      <family val="2"/>
    </font>
    <font>
      <b/>
      <sz val="8"/>
      <color indexed="10"/>
      <name val="Arial"/>
      <family val="2"/>
    </font>
    <font>
      <sz val="11"/>
      <color indexed="9"/>
      <name val="Calibri"/>
      <family val="2"/>
    </font>
    <font>
      <b/>
      <sz val="9"/>
      <color indexed="63"/>
      <name val="Arial"/>
      <family val="2"/>
    </font>
    <font>
      <b/>
      <sz val="11"/>
      <color indexed="10"/>
      <name val="Arial"/>
      <family val="2"/>
    </font>
    <font>
      <sz val="9"/>
      <color indexed="50"/>
      <name val="Arial"/>
      <family val="2"/>
    </font>
    <font>
      <sz val="9"/>
      <name val="Arial"/>
      <family val="2"/>
    </font>
    <font>
      <sz val="11"/>
      <color indexed="22"/>
      <name val="Arial"/>
      <family val="2"/>
    </font>
    <font>
      <b/>
      <sz val="9"/>
      <color indexed="50"/>
      <name val="Arial"/>
      <family val="2"/>
    </font>
    <font>
      <b/>
      <sz val="9"/>
      <color indexed="9"/>
      <name val="Arial"/>
      <family val="2"/>
    </font>
    <font>
      <sz val="9"/>
      <color indexed="8"/>
      <name val="Calibri"/>
      <family val="2"/>
    </font>
    <font>
      <sz val="9"/>
      <color indexed="8"/>
      <name val="Cambria"/>
      <family val="1"/>
    </font>
    <font>
      <b/>
      <sz val="12"/>
      <color indexed="8"/>
      <name val="Cambria"/>
      <family val="1"/>
    </font>
    <font>
      <sz val="8"/>
      <color indexed="9"/>
      <name val="Cambria"/>
      <family val="1"/>
    </font>
    <font>
      <b/>
      <sz val="9"/>
      <color indexed="8"/>
      <name val="Cambria"/>
      <family val="1"/>
    </font>
    <font>
      <b/>
      <sz val="50"/>
      <color indexed="8"/>
      <name val="Cambria"/>
      <family val="1"/>
    </font>
    <font>
      <b/>
      <sz val="25"/>
      <color indexed="8"/>
      <name val="Cambria"/>
      <family val="1"/>
    </font>
    <font>
      <sz val="15"/>
      <color indexed="9"/>
      <name val="Cambria"/>
      <family val="1"/>
    </font>
    <font>
      <b/>
      <sz val="8"/>
      <color indexed="8"/>
      <name val="Cambria"/>
      <family val="1"/>
    </font>
    <font>
      <sz val="8"/>
      <color indexed="8"/>
      <name val="Cambria"/>
      <family val="1"/>
    </font>
    <font>
      <b/>
      <sz val="8"/>
      <color indexed="60"/>
      <name val="Cambria"/>
      <family val="1"/>
    </font>
    <font>
      <b/>
      <sz val="8"/>
      <color indexed="9"/>
      <name val="Cambria"/>
      <family val="1"/>
    </font>
    <font>
      <b/>
      <sz val="8"/>
      <name val="Cambria"/>
      <family val="1"/>
    </font>
    <font>
      <b/>
      <sz val="20"/>
      <color indexed="8"/>
      <name val="Cambria"/>
      <family val="1"/>
    </font>
    <font>
      <b/>
      <sz val="12"/>
      <color indexed="9"/>
      <name val="Cambria"/>
      <family val="1"/>
    </font>
    <font>
      <b/>
      <sz val="15"/>
      <color indexed="9"/>
      <name val="Cambria"/>
      <family val="1"/>
    </font>
    <font>
      <b/>
      <sz val="9"/>
      <color indexed="9"/>
      <name val="Cambria"/>
      <family val="1"/>
    </font>
    <font>
      <sz val="8"/>
      <color indexed="10"/>
      <name val="Cambria"/>
      <family val="1"/>
    </font>
    <font>
      <sz val="8"/>
      <name val="Cambria"/>
      <family val="1"/>
    </font>
    <font>
      <sz val="9"/>
      <color indexed="10"/>
      <name val="Cambria"/>
      <family val="1"/>
    </font>
    <font>
      <sz val="8"/>
      <color indexed="8"/>
      <name val="Segoe UI"/>
      <family val="2"/>
    </font>
    <font>
      <b/>
      <sz val="8"/>
      <color indexed="8"/>
      <name val="Segoe UI"/>
      <family val="2"/>
    </font>
    <font>
      <b/>
      <sz val="10"/>
      <color indexed="63"/>
      <name val="Arial"/>
      <family val="2"/>
    </font>
    <font>
      <sz val="10"/>
      <color indexed="50"/>
      <name val="Arial"/>
      <family val="2"/>
    </font>
    <font>
      <b/>
      <sz val="15"/>
      <color indexed="50"/>
      <name val="Arial"/>
      <family val="2"/>
    </font>
    <font>
      <sz val="10"/>
      <color indexed="9"/>
      <name val="Arial"/>
      <family val="2"/>
    </font>
    <font>
      <b/>
      <sz val="10"/>
      <color indexed="9"/>
      <name val="Arial"/>
      <family val="2"/>
    </font>
    <font>
      <sz val="10"/>
      <color indexed="63"/>
      <name val="Arial"/>
      <family val="2"/>
    </font>
    <font>
      <b/>
      <sz val="11"/>
      <color indexed="8"/>
      <name val="Calibri"/>
      <family val="2"/>
    </font>
    <font>
      <sz val="11"/>
      <name val="Wingdings 3"/>
      <family val="1"/>
    </font>
    <font>
      <b/>
      <sz val="11"/>
      <color indexed="11"/>
      <name val="Arial"/>
      <family val="2"/>
    </font>
    <font>
      <sz val="9"/>
      <color indexed="8"/>
      <name val="Arial"/>
      <family val="2"/>
    </font>
    <font>
      <sz val="8"/>
      <color indexed="9"/>
      <name val="Arial"/>
      <family val="2"/>
    </font>
    <font>
      <b/>
      <sz val="8"/>
      <color indexed="9"/>
      <name val="Arial"/>
      <family val="2"/>
    </font>
    <font>
      <b/>
      <sz val="8"/>
      <color indexed="8"/>
      <name val="Arial"/>
      <family val="2"/>
    </font>
    <font>
      <b/>
      <sz val="7"/>
      <color indexed="8"/>
      <name val="Arial"/>
      <family val="2"/>
    </font>
    <font>
      <sz val="7"/>
      <color indexed="8"/>
      <name val="Arial"/>
      <family val="2"/>
    </font>
    <font>
      <sz val="8"/>
      <color indexed="60"/>
      <name val="Arial"/>
      <family val="2"/>
    </font>
    <font>
      <b/>
      <sz val="12"/>
      <color indexed="8"/>
      <name val="Arial"/>
      <family val="2"/>
    </font>
    <font>
      <b/>
      <sz val="9"/>
      <color indexed="8"/>
      <name val="Calibri"/>
      <family val="2"/>
    </font>
    <font>
      <sz val="11"/>
      <color indexed="10"/>
      <name val="Calibri"/>
      <family val="2"/>
    </font>
    <font>
      <u/>
      <sz val="11"/>
      <color indexed="8"/>
      <name val="Calibri"/>
      <family val="2"/>
    </font>
    <font>
      <sz val="11"/>
      <color indexed="62"/>
      <name val="Calibri"/>
      <family val="2"/>
    </font>
    <font>
      <sz val="11"/>
      <color indexed="62"/>
      <name val="Arial"/>
      <family val="1"/>
    </font>
    <font>
      <sz val="11"/>
      <color indexed="17"/>
      <name val="Calibri"/>
      <family val="2"/>
    </font>
    <font>
      <sz val="11"/>
      <color indexed="12"/>
      <name val="Arial"/>
      <family val="2"/>
    </font>
    <font>
      <sz val="8"/>
      <color indexed="12"/>
      <name val="Arial"/>
      <family val="2"/>
    </font>
    <font>
      <sz val="11"/>
      <color indexed="8"/>
      <name val="ArialMT"/>
    </font>
    <font>
      <sz val="10"/>
      <name val="Verdana"/>
      <family val="2"/>
    </font>
    <font>
      <sz val="11"/>
      <color indexed="8"/>
      <name val="Calibri"/>
      <family val="2"/>
    </font>
    <font>
      <sz val="10"/>
      <color indexed="8"/>
      <name val="Arial"/>
      <family val="2"/>
    </font>
    <font>
      <sz val="11"/>
      <color theme="1"/>
      <name val="Calibri"/>
      <scheme val="minor"/>
    </font>
    <font>
      <b/>
      <sz val="11"/>
      <color rgb="FFFF0000"/>
      <name val="Arial"/>
      <family val="2"/>
    </font>
    <font>
      <sz val="11"/>
      <color rgb="FFFF0000"/>
      <name val="Arial"/>
      <family val="2"/>
    </font>
    <font>
      <b/>
      <sz val="12"/>
      <color theme="0"/>
      <name val="Arial"/>
      <family val="2"/>
    </font>
  </fonts>
  <fills count="25">
    <fill>
      <patternFill patternType="none"/>
    </fill>
    <fill>
      <patternFill patternType="gray125"/>
    </fill>
    <fill>
      <patternFill patternType="solid">
        <fgColor indexed="8"/>
        <bgColor indexed="18"/>
      </patternFill>
    </fill>
    <fill>
      <patternFill patternType="solid">
        <fgColor indexed="23"/>
        <bgColor indexed="55"/>
      </patternFill>
    </fill>
    <fill>
      <patternFill patternType="solid">
        <fgColor indexed="31"/>
        <bgColor indexed="27"/>
      </patternFill>
    </fill>
    <fill>
      <patternFill patternType="solid">
        <fgColor indexed="43"/>
        <bgColor indexed="47"/>
      </patternFill>
    </fill>
    <fill>
      <patternFill patternType="solid">
        <fgColor indexed="16"/>
        <bgColor indexed="60"/>
      </patternFill>
    </fill>
    <fill>
      <patternFill patternType="solid">
        <fgColor indexed="42"/>
        <bgColor indexed="41"/>
      </patternFill>
    </fill>
    <fill>
      <patternFill patternType="solid">
        <fgColor indexed="26"/>
        <bgColor indexed="9"/>
      </patternFill>
    </fill>
    <fill>
      <patternFill patternType="solid">
        <fgColor indexed="9"/>
        <bgColor indexed="26"/>
      </patternFill>
    </fill>
    <fill>
      <patternFill patternType="solid">
        <fgColor indexed="13"/>
        <bgColor indexed="34"/>
      </patternFill>
    </fill>
    <fill>
      <patternFill patternType="solid">
        <fgColor indexed="59"/>
        <bgColor indexed="63"/>
      </patternFill>
    </fill>
    <fill>
      <patternFill patternType="solid">
        <fgColor indexed="50"/>
        <bgColor indexed="51"/>
      </patternFill>
    </fill>
    <fill>
      <patternFill patternType="solid">
        <fgColor indexed="44"/>
        <bgColor indexed="24"/>
      </patternFill>
    </fill>
    <fill>
      <patternFill patternType="solid">
        <fgColor indexed="25"/>
        <bgColor indexed="23"/>
      </patternFill>
    </fill>
    <fill>
      <patternFill patternType="solid">
        <fgColor indexed="47"/>
        <bgColor indexed="43"/>
      </patternFill>
    </fill>
    <fill>
      <patternFill patternType="solid">
        <fgColor indexed="34"/>
        <bgColor indexed="13"/>
      </patternFill>
    </fill>
    <fill>
      <patternFill patternType="solid">
        <fgColor indexed="60"/>
        <bgColor indexed="16"/>
      </patternFill>
    </fill>
    <fill>
      <patternFill patternType="solid">
        <fgColor indexed="27"/>
        <bgColor indexed="31"/>
      </patternFill>
    </fill>
    <fill>
      <patternFill patternType="solid">
        <fgColor indexed="53"/>
        <bgColor indexed="29"/>
      </patternFill>
    </fill>
    <fill>
      <patternFill patternType="solid">
        <fgColor indexed="29"/>
        <bgColor indexed="53"/>
      </patternFill>
    </fill>
    <fill>
      <patternFill patternType="solid">
        <fgColor indexed="49"/>
        <bgColor indexed="11"/>
      </patternFill>
    </fill>
    <fill>
      <patternFill patternType="solid">
        <fgColor indexed="51"/>
        <bgColor indexed="50"/>
      </patternFill>
    </fill>
    <fill>
      <patternFill patternType="solid">
        <fgColor rgb="FFFFFF00"/>
        <bgColor indexed="64"/>
      </patternFill>
    </fill>
    <fill>
      <patternFill patternType="solid">
        <fgColor rgb="FF99CC00"/>
        <bgColor indexed="26"/>
      </patternFill>
    </fill>
  </fills>
  <borders count="115">
    <border>
      <left/>
      <right/>
      <top/>
      <bottom/>
      <diagonal/>
    </border>
    <border>
      <left style="thin">
        <color indexed="23"/>
      </left>
      <right style="thin">
        <color indexed="23"/>
      </right>
      <top style="thin">
        <color indexed="23"/>
      </top>
      <bottom style="thin">
        <color indexed="23"/>
      </bottom>
      <diagonal/>
    </border>
    <border>
      <left/>
      <right/>
      <top style="thin">
        <color indexed="55"/>
      </top>
      <bottom style="thin">
        <color indexed="55"/>
      </bottom>
      <diagonal/>
    </border>
    <border>
      <left/>
      <right/>
      <top style="thin">
        <color indexed="50"/>
      </top>
      <bottom style="thin">
        <color indexed="50"/>
      </bottom>
      <diagonal/>
    </border>
    <border>
      <left/>
      <right/>
      <top style="thin">
        <color indexed="8"/>
      </top>
      <bottom/>
      <diagonal/>
    </border>
    <border>
      <left/>
      <right/>
      <top/>
      <bottom style="thin">
        <color indexed="8"/>
      </bottom>
      <diagonal/>
    </border>
    <border>
      <left/>
      <right/>
      <top style="thin">
        <color indexed="55"/>
      </top>
      <bottom/>
      <diagonal/>
    </border>
    <border>
      <left/>
      <right/>
      <top/>
      <bottom style="thin">
        <color indexed="50"/>
      </bottom>
      <diagonal/>
    </border>
    <border>
      <left/>
      <right/>
      <top/>
      <bottom style="thin">
        <color indexed="55"/>
      </bottom>
      <diagonal/>
    </border>
    <border>
      <left/>
      <right/>
      <top style="thin">
        <color indexed="50"/>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thick">
        <color indexed="25"/>
      </left>
      <right style="thick">
        <color indexed="25"/>
      </right>
      <top style="thick">
        <color indexed="25"/>
      </top>
      <bottom style="thick">
        <color indexed="25"/>
      </bottom>
      <diagonal/>
    </border>
    <border>
      <left style="thick">
        <color indexed="60"/>
      </left>
      <right style="thick">
        <color indexed="60"/>
      </right>
      <top style="thick">
        <color indexed="60"/>
      </top>
      <bottom style="thick">
        <color indexed="60"/>
      </bottom>
      <diagonal/>
    </border>
    <border>
      <left/>
      <right/>
      <top style="dashed">
        <color indexed="8"/>
      </top>
      <bottom/>
      <diagonal/>
    </border>
    <border>
      <left style="dashed">
        <color indexed="8"/>
      </left>
      <right style="dashed">
        <color indexed="8"/>
      </right>
      <top/>
      <bottom/>
      <diagonal/>
    </border>
    <border>
      <left/>
      <right style="dotted">
        <color indexed="8"/>
      </right>
      <top/>
      <bottom/>
      <diagonal/>
    </border>
    <border>
      <left style="dotted">
        <color indexed="8"/>
      </left>
      <right style="dotted">
        <color indexed="8"/>
      </right>
      <top/>
      <bottom/>
      <diagonal/>
    </border>
    <border>
      <left style="dotted">
        <color indexed="8"/>
      </left>
      <right/>
      <top/>
      <bottom/>
      <diagonal/>
    </border>
    <border>
      <left style="thick">
        <color indexed="60"/>
      </left>
      <right/>
      <top style="thick">
        <color indexed="60"/>
      </top>
      <bottom/>
      <diagonal/>
    </border>
    <border>
      <left style="dashed">
        <color indexed="8"/>
      </left>
      <right style="dashed">
        <color indexed="8"/>
      </right>
      <top style="thick">
        <color indexed="60"/>
      </top>
      <bottom/>
      <diagonal/>
    </border>
    <border>
      <left/>
      <right style="thick">
        <color indexed="60"/>
      </right>
      <top style="thick">
        <color indexed="60"/>
      </top>
      <bottom/>
      <diagonal/>
    </border>
    <border>
      <left style="thick">
        <color indexed="60"/>
      </left>
      <right/>
      <top/>
      <bottom/>
      <diagonal/>
    </border>
    <border>
      <left/>
      <right style="thick">
        <color indexed="60"/>
      </right>
      <top/>
      <bottom/>
      <diagonal/>
    </border>
    <border>
      <left style="thick">
        <color indexed="60"/>
      </left>
      <right/>
      <top/>
      <bottom style="thick">
        <color indexed="60"/>
      </bottom>
      <diagonal/>
    </border>
    <border>
      <left style="dashed">
        <color indexed="8"/>
      </left>
      <right style="dashed">
        <color indexed="8"/>
      </right>
      <top/>
      <bottom style="thick">
        <color indexed="60"/>
      </bottom>
      <diagonal/>
    </border>
    <border>
      <left/>
      <right style="thick">
        <color indexed="60"/>
      </right>
      <top/>
      <bottom style="thick">
        <color indexed="60"/>
      </bottom>
      <diagonal/>
    </border>
    <border>
      <left style="medium">
        <color indexed="8"/>
      </left>
      <right/>
      <top/>
      <bottom style="medium">
        <color indexed="8"/>
      </bottom>
      <diagonal/>
    </border>
    <border>
      <left/>
      <right/>
      <top/>
      <bottom style="medium">
        <color indexed="8"/>
      </bottom>
      <diagonal/>
    </border>
    <border>
      <left/>
      <right style="dotted">
        <color indexed="8"/>
      </right>
      <top/>
      <bottom style="medium">
        <color indexed="8"/>
      </bottom>
      <diagonal/>
    </border>
    <border>
      <left style="dotted">
        <color indexed="8"/>
      </left>
      <right style="dotted">
        <color indexed="8"/>
      </right>
      <top/>
      <bottom style="medium">
        <color indexed="8"/>
      </bottom>
      <diagonal/>
    </border>
    <border>
      <left style="dotted">
        <color indexed="8"/>
      </left>
      <right/>
      <top/>
      <bottom style="medium">
        <color indexed="8"/>
      </bottom>
      <diagonal/>
    </border>
    <border>
      <left/>
      <right style="medium">
        <color indexed="8"/>
      </right>
      <top/>
      <bottom style="medium">
        <color indexed="8"/>
      </bottom>
      <diagonal/>
    </border>
    <border>
      <left/>
      <right/>
      <top style="dashed">
        <color indexed="8"/>
      </top>
      <bottom style="dashed">
        <color indexed="8"/>
      </bottom>
      <diagonal/>
    </border>
    <border>
      <left style="thick">
        <color indexed="60"/>
      </left>
      <right style="thick">
        <color indexed="60"/>
      </right>
      <top style="thick">
        <color indexed="60"/>
      </top>
      <bottom style="dashed">
        <color indexed="8"/>
      </bottom>
      <diagonal/>
    </border>
    <border>
      <left style="thick">
        <color indexed="60"/>
      </left>
      <right style="thick">
        <color indexed="60"/>
      </right>
      <top/>
      <bottom/>
      <diagonal/>
    </border>
    <border>
      <left style="thick">
        <color indexed="60"/>
      </left>
      <right style="thick">
        <color indexed="60"/>
      </right>
      <top style="dashed">
        <color indexed="8"/>
      </top>
      <bottom style="dashed">
        <color indexed="8"/>
      </bottom>
      <diagonal/>
    </border>
    <border>
      <left/>
      <right/>
      <top style="dashed">
        <color indexed="8"/>
      </top>
      <bottom style="medium">
        <color indexed="8"/>
      </bottom>
      <diagonal/>
    </border>
    <border>
      <left style="thick">
        <color indexed="60"/>
      </left>
      <right style="thick">
        <color indexed="60"/>
      </right>
      <top/>
      <bottom style="medium">
        <color indexed="8"/>
      </bottom>
      <diagonal/>
    </border>
    <border>
      <left style="thick">
        <color indexed="60"/>
      </left>
      <right style="thick">
        <color indexed="60"/>
      </right>
      <top style="dashed">
        <color indexed="8"/>
      </top>
      <bottom/>
      <diagonal/>
    </border>
    <border>
      <left style="thick">
        <color indexed="60"/>
      </left>
      <right/>
      <top/>
      <bottom style="dashed">
        <color indexed="8"/>
      </bottom>
      <diagonal/>
    </border>
    <border>
      <left/>
      <right style="thick">
        <color indexed="60"/>
      </right>
      <top/>
      <bottom style="dashed">
        <color indexed="8"/>
      </bottom>
      <diagonal/>
    </border>
    <border>
      <left style="thick">
        <color indexed="60"/>
      </left>
      <right/>
      <top style="dashed">
        <color indexed="8"/>
      </top>
      <bottom style="dashed">
        <color indexed="8"/>
      </bottom>
      <diagonal/>
    </border>
    <border>
      <left/>
      <right style="thick">
        <color indexed="60"/>
      </right>
      <top style="dashed">
        <color indexed="8"/>
      </top>
      <bottom style="dashed">
        <color indexed="8"/>
      </bottom>
      <diagonal/>
    </border>
    <border>
      <left style="thick">
        <color indexed="60"/>
      </left>
      <right/>
      <top style="dashed">
        <color indexed="8"/>
      </top>
      <bottom style="thick">
        <color indexed="60"/>
      </bottom>
      <diagonal/>
    </border>
    <border>
      <left/>
      <right style="thick">
        <color indexed="60"/>
      </right>
      <top style="dashed">
        <color indexed="8"/>
      </top>
      <bottom/>
      <diagonal/>
    </border>
    <border>
      <left style="thick">
        <color indexed="60"/>
      </left>
      <right style="thick">
        <color indexed="60"/>
      </right>
      <top/>
      <bottom style="dashed">
        <color indexed="8"/>
      </bottom>
      <diagonal/>
    </border>
    <border>
      <left style="thick">
        <color indexed="60"/>
      </left>
      <right style="thick">
        <color indexed="60"/>
      </right>
      <top/>
      <bottom style="thick">
        <color indexed="60"/>
      </bottom>
      <diagonal/>
    </border>
    <border>
      <left style="thick">
        <color indexed="60"/>
      </left>
      <right style="thick">
        <color indexed="60"/>
      </right>
      <top style="thick">
        <color indexed="60"/>
      </top>
      <bottom/>
      <diagonal/>
    </border>
    <border>
      <left style="thin">
        <color indexed="55"/>
      </left>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bottom style="thick">
        <color indexed="50"/>
      </bottom>
      <diagonal/>
    </border>
    <border>
      <left/>
      <right/>
      <top/>
      <bottom style="dashed">
        <color indexed="50"/>
      </bottom>
      <diagonal/>
    </border>
    <border>
      <left/>
      <right/>
      <top style="dashed">
        <color indexed="50"/>
      </top>
      <bottom style="dashed">
        <color indexed="50"/>
      </bottom>
      <diagonal/>
    </border>
    <border>
      <left/>
      <right/>
      <top style="dashed">
        <color indexed="50"/>
      </top>
      <bottom/>
      <diagonal/>
    </border>
    <border>
      <left style="medium">
        <color indexed="8"/>
      </left>
      <right/>
      <top style="dashed">
        <color indexed="8"/>
      </top>
      <bottom style="dashed">
        <color indexed="8"/>
      </bottom>
      <diagonal/>
    </border>
    <border>
      <left/>
      <right style="medium">
        <color indexed="8"/>
      </right>
      <top style="dashed">
        <color indexed="8"/>
      </top>
      <bottom style="dashed">
        <color indexed="8"/>
      </bottom>
      <diagonal/>
    </border>
    <border>
      <left style="medium">
        <color indexed="8"/>
      </left>
      <right/>
      <top style="medium">
        <color indexed="8"/>
      </top>
      <bottom style="dotted">
        <color indexed="8"/>
      </bottom>
      <diagonal/>
    </border>
    <border>
      <left/>
      <right/>
      <top style="medium">
        <color indexed="8"/>
      </top>
      <bottom style="dotted">
        <color indexed="8"/>
      </bottom>
      <diagonal/>
    </border>
    <border>
      <left/>
      <right style="medium">
        <color indexed="8"/>
      </right>
      <top style="medium">
        <color indexed="8"/>
      </top>
      <bottom style="dotted">
        <color indexed="8"/>
      </bottom>
      <diagonal/>
    </border>
    <border>
      <left style="medium">
        <color indexed="8"/>
      </left>
      <right/>
      <top style="dotted">
        <color indexed="8"/>
      </top>
      <bottom style="dotted">
        <color indexed="8"/>
      </bottom>
      <diagonal/>
    </border>
    <border>
      <left/>
      <right style="medium">
        <color indexed="8"/>
      </right>
      <top style="dotted">
        <color indexed="8"/>
      </top>
      <bottom style="dotted">
        <color indexed="8"/>
      </bottom>
      <diagonal/>
    </border>
    <border>
      <left/>
      <right/>
      <top style="dotted">
        <color indexed="8"/>
      </top>
      <bottom style="dotted">
        <color indexed="8"/>
      </bottom>
      <diagonal/>
    </border>
    <border>
      <left/>
      <right style="medium">
        <color indexed="8"/>
      </right>
      <top style="dotted">
        <color indexed="8"/>
      </top>
      <bottom/>
      <diagonal/>
    </border>
    <border>
      <left style="medium">
        <color indexed="8"/>
      </left>
      <right/>
      <top style="dotted">
        <color indexed="8"/>
      </top>
      <bottom/>
      <diagonal/>
    </border>
    <border>
      <left/>
      <right/>
      <top style="dotted">
        <color indexed="8"/>
      </top>
      <bottom/>
      <diagonal/>
    </border>
    <border>
      <left/>
      <right style="medium">
        <color indexed="8"/>
      </right>
      <top style="dashed">
        <color indexed="8"/>
      </top>
      <bottom style="dotted">
        <color indexed="8"/>
      </bottom>
      <diagonal/>
    </border>
    <border>
      <left style="medium">
        <color indexed="8"/>
      </left>
      <right/>
      <top/>
      <bottom style="dotted">
        <color indexed="8"/>
      </bottom>
      <diagonal/>
    </border>
    <border>
      <left/>
      <right style="medium">
        <color indexed="8"/>
      </right>
      <top/>
      <bottom style="dotted">
        <color indexed="8"/>
      </bottom>
      <diagonal/>
    </border>
    <border>
      <left/>
      <right/>
      <top/>
      <bottom style="dotted">
        <color indexed="8"/>
      </bottom>
      <diagonal/>
    </border>
    <border>
      <left style="medium">
        <color indexed="8"/>
      </left>
      <right/>
      <top style="dashed">
        <color indexed="8"/>
      </top>
      <bottom style="medium">
        <color indexed="8"/>
      </bottom>
      <diagonal/>
    </border>
    <border>
      <left/>
      <right style="medium">
        <color indexed="8"/>
      </right>
      <top style="dashed">
        <color indexed="8"/>
      </top>
      <bottom style="medium">
        <color indexed="8"/>
      </bottom>
      <diagonal/>
    </border>
    <border>
      <left style="medium">
        <color indexed="8"/>
      </left>
      <right/>
      <top style="dotted">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ck">
        <color indexed="60"/>
      </left>
      <right/>
      <top style="thick">
        <color indexed="60"/>
      </top>
      <bottom style="thick">
        <color indexed="60"/>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hair">
        <color indexed="8"/>
      </left>
      <right style="hair">
        <color indexed="8"/>
      </right>
      <top style="hair">
        <color indexed="8"/>
      </top>
      <bottom style="hair">
        <color indexed="8"/>
      </bottom>
      <diagonal/>
    </border>
    <border>
      <left/>
      <right/>
      <top style="hair">
        <color indexed="19"/>
      </top>
      <bottom style="hair">
        <color indexed="19"/>
      </bottom>
      <diagonal/>
    </border>
    <border>
      <left/>
      <right/>
      <top/>
      <bottom style="hair">
        <color indexed="24"/>
      </bottom>
      <diagonal/>
    </border>
    <border>
      <left/>
      <right/>
      <top style="hair">
        <color indexed="19"/>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55"/>
      </top>
      <bottom style="thin">
        <color indexed="50"/>
      </bottom>
      <diagonal/>
    </border>
    <border>
      <left/>
      <right/>
      <top style="medium">
        <color indexed="8"/>
      </top>
      <bottom style="medium">
        <color indexed="8"/>
      </bottom>
      <diagonal/>
    </border>
    <border>
      <left/>
      <right style="dotted">
        <color indexed="8"/>
      </right>
      <top style="medium">
        <color indexed="8"/>
      </top>
      <bottom/>
      <diagonal/>
    </border>
    <border>
      <left style="dotted">
        <color indexed="8"/>
      </left>
      <right style="dotted">
        <color indexed="8"/>
      </right>
      <top style="medium">
        <color indexed="8"/>
      </top>
      <bottom/>
      <diagonal/>
    </border>
    <border>
      <left style="dotted">
        <color indexed="8"/>
      </left>
      <right/>
      <top style="medium">
        <color indexed="8"/>
      </top>
      <bottom/>
      <diagonal/>
    </border>
    <border>
      <left/>
      <right/>
      <top style="medium">
        <color indexed="8"/>
      </top>
      <bottom style="dashed">
        <color indexed="8"/>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style="medium">
        <color indexed="8"/>
      </top>
      <bottom style="dashed">
        <color indexed="8"/>
      </bottom>
      <diagonal/>
    </border>
    <border>
      <left style="thin">
        <color indexed="8"/>
      </left>
      <right/>
      <top style="medium">
        <color indexed="8"/>
      </top>
      <bottom/>
      <diagonal/>
    </border>
    <border>
      <left style="thin">
        <color indexed="8"/>
      </left>
      <right/>
      <top style="thin">
        <color indexed="8"/>
      </top>
      <bottom/>
      <diagonal/>
    </border>
    <border>
      <left style="thin">
        <color rgb="FF99CC00"/>
      </left>
      <right/>
      <top style="thin">
        <color rgb="FF99CC00"/>
      </top>
      <bottom style="thin">
        <color rgb="FF99CC00"/>
      </bottom>
      <diagonal/>
    </border>
    <border>
      <left/>
      <right style="thin">
        <color rgb="FF99CC00"/>
      </right>
      <top style="thin">
        <color rgb="FF99CC00"/>
      </top>
      <bottom style="thin">
        <color rgb="FF99CC00"/>
      </bottom>
      <diagonal/>
    </border>
  </borders>
  <cellStyleXfs count="21">
    <xf numFmtId="0" fontId="0" fillId="0" borderId="0"/>
    <xf numFmtId="0" fontId="2"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0" borderId="0" applyNumberFormat="0" applyFill="0" applyBorder="0" applyAlignment="0" applyProtection="0"/>
    <xf numFmtId="0" fontId="4" fillId="5" borderId="0" applyNumberFormat="0" applyBorder="0" applyAlignment="0" applyProtection="0"/>
    <xf numFmtId="0" fontId="5" fillId="6" borderId="0" applyNumberFormat="0" applyBorder="0" applyAlignment="0" applyProtection="0"/>
    <xf numFmtId="0" fontId="6" fillId="0" borderId="0" applyNumberFormat="0" applyFill="0" applyBorder="0" applyAlignment="0" applyProtection="0"/>
    <xf numFmtId="0" fontId="7" fillId="7" borderId="0" applyNumberFormat="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166" fontId="87" fillId="0" borderId="0" applyFill="0" applyBorder="0" applyAlignment="0" applyProtection="0"/>
    <xf numFmtId="0" fontId="87" fillId="0" borderId="0"/>
    <xf numFmtId="0" fontId="11" fillId="8" borderId="1" applyNumberFormat="0" applyAlignment="0" applyProtection="0"/>
    <xf numFmtId="164" fontId="87" fillId="0" borderId="0" applyFill="0" applyBorder="0" applyAlignment="0" applyProtection="0"/>
    <xf numFmtId="0" fontId="89" fillId="0" borderId="0"/>
    <xf numFmtId="0" fontId="87" fillId="0" borderId="0" applyNumberFormat="0" applyFill="0" applyBorder="0" applyAlignment="0" applyProtection="0"/>
    <xf numFmtId="0" fontId="87" fillId="0" borderId="0" applyNumberFormat="0" applyFill="0" applyBorder="0" applyAlignment="0" applyProtection="0"/>
    <xf numFmtId="0" fontId="4" fillId="0" borderId="0" applyNumberFormat="0" applyFill="0" applyBorder="0" applyAlignment="0" applyProtection="0"/>
  </cellStyleXfs>
  <cellXfs count="641">
    <xf numFmtId="0" fontId="0" fillId="0" borderId="0" xfId="0"/>
    <xf numFmtId="0" fontId="12" fillId="0" borderId="0" xfId="0" applyFont="1" applyAlignment="1" applyProtection="1">
      <alignment vertical="center"/>
    </xf>
    <xf numFmtId="0" fontId="12" fillId="9" borderId="0" xfId="0" applyFont="1" applyFill="1" applyAlignment="1" applyProtection="1">
      <alignment vertical="center"/>
    </xf>
    <xf numFmtId="0" fontId="14" fillId="9" borderId="0" xfId="0" applyFont="1" applyFill="1" applyAlignment="1" applyProtection="1">
      <alignment horizontal="left" vertical="center"/>
    </xf>
    <xf numFmtId="0" fontId="14" fillId="9" borderId="0" xfId="0" applyFont="1" applyFill="1" applyAlignment="1" applyProtection="1">
      <alignment vertical="center"/>
    </xf>
    <xf numFmtId="0" fontId="16" fillId="9" borderId="0" xfId="0" applyFont="1" applyFill="1" applyAlignment="1" applyProtection="1">
      <alignment vertical="top" wrapText="1"/>
    </xf>
    <xf numFmtId="0" fontId="16" fillId="9" borderId="0" xfId="0" applyFont="1" applyFill="1" applyAlignment="1" applyProtection="1">
      <alignment vertical="center" wrapText="1"/>
    </xf>
    <xf numFmtId="0" fontId="20" fillId="9" borderId="0" xfId="0" applyFont="1" applyFill="1" applyAlignment="1" applyProtection="1">
      <alignment horizontal="left" vertical="center" wrapText="1"/>
    </xf>
    <xf numFmtId="0" fontId="16" fillId="9" borderId="0" xfId="0" applyFont="1" applyFill="1" applyAlignment="1" applyProtection="1">
      <alignment horizontal="left" vertical="center" wrapText="1"/>
    </xf>
    <xf numFmtId="0" fontId="12" fillId="9" borderId="0" xfId="0" applyFont="1" applyFill="1" applyBorder="1" applyAlignment="1" applyProtection="1">
      <alignment vertical="center"/>
    </xf>
    <xf numFmtId="0" fontId="16" fillId="9" borderId="0" xfId="0" applyFont="1" applyFill="1" applyAlignment="1" applyProtection="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12" fillId="9" borderId="0" xfId="0" applyFont="1" applyFill="1" applyAlignment="1">
      <alignment vertical="center"/>
    </xf>
    <xf numFmtId="0" fontId="12" fillId="9" borderId="0" xfId="0" applyFont="1" applyFill="1" applyAlignment="1">
      <alignment horizontal="center" vertical="center"/>
    </xf>
    <xf numFmtId="0" fontId="12" fillId="9" borderId="0" xfId="0" applyFont="1" applyFill="1" applyAlignment="1">
      <alignment horizontal="left" vertical="center"/>
    </xf>
    <xf numFmtId="0" fontId="14" fillId="9" borderId="0" xfId="0" applyFont="1" applyFill="1" applyBorder="1" applyAlignment="1">
      <alignment horizontal="left" vertical="center"/>
    </xf>
    <xf numFmtId="0" fontId="16" fillId="9" borderId="0" xfId="0" applyFont="1" applyFill="1" applyAlignment="1">
      <alignment horizontal="left" vertical="center"/>
    </xf>
    <xf numFmtId="0" fontId="23" fillId="9" borderId="0" xfId="0" applyFont="1" applyFill="1" applyAlignment="1">
      <alignment horizontal="left" vertical="center"/>
    </xf>
    <xf numFmtId="0" fontId="14" fillId="9" borderId="2" xfId="0" applyFont="1" applyFill="1" applyBorder="1" applyAlignment="1">
      <alignment horizontal="left" vertical="center" indent="1"/>
    </xf>
    <xf numFmtId="0" fontId="21" fillId="9" borderId="3" xfId="0" applyFont="1" applyFill="1" applyBorder="1" applyAlignment="1" applyProtection="1">
      <alignment horizontal="left" vertical="center" indent="1"/>
      <protection locked="0"/>
    </xf>
    <xf numFmtId="0" fontId="16" fillId="9" borderId="2" xfId="0" applyFont="1" applyFill="1" applyBorder="1" applyAlignment="1">
      <alignment horizontal="left" vertical="center" indent="1"/>
    </xf>
    <xf numFmtId="0" fontId="12" fillId="9" borderId="0" xfId="0" applyFont="1" applyFill="1" applyAlignment="1">
      <alignment horizontal="left" vertical="center" indent="1"/>
    </xf>
    <xf numFmtId="0" fontId="24" fillId="9" borderId="0" xfId="0" applyFont="1" applyFill="1" applyAlignment="1">
      <alignment horizontal="left" vertical="center" indent="1"/>
    </xf>
    <xf numFmtId="0" fontId="25" fillId="9" borderId="0" xfId="0" applyFont="1" applyFill="1" applyAlignment="1">
      <alignment horizontal="left" vertical="center" indent="1"/>
    </xf>
    <xf numFmtId="0" fontId="21" fillId="9" borderId="0" xfId="0" applyFont="1" applyFill="1" applyAlignment="1">
      <alignment horizontal="left" vertical="center" indent="1"/>
    </xf>
    <xf numFmtId="0" fontId="21" fillId="9" borderId="0" xfId="0" applyFont="1" applyFill="1" applyBorder="1" applyAlignment="1">
      <alignment horizontal="left" vertical="center" indent="1"/>
    </xf>
    <xf numFmtId="0" fontId="14" fillId="9" borderId="2" xfId="0" applyFont="1" applyFill="1" applyBorder="1" applyAlignment="1">
      <alignment horizontal="left" vertical="center" wrapText="1" indent="1"/>
    </xf>
    <xf numFmtId="0" fontId="25" fillId="9" borderId="0" xfId="0" applyFont="1" applyFill="1" applyAlignment="1">
      <alignment vertical="center"/>
    </xf>
    <xf numFmtId="0" fontId="21" fillId="9" borderId="0" xfId="0" applyFont="1" applyFill="1" applyAlignment="1">
      <alignment horizontal="left" vertical="center"/>
    </xf>
    <xf numFmtId="0" fontId="16" fillId="9" borderId="2" xfId="0" applyFont="1" applyFill="1" applyBorder="1" applyAlignment="1">
      <alignment horizontal="left" vertical="center" wrapText="1" indent="1"/>
    </xf>
    <xf numFmtId="0" fontId="12" fillId="0" borderId="0" xfId="0" applyFont="1" applyAlignment="1" applyProtection="1">
      <alignment horizontal="left" vertical="center"/>
    </xf>
    <xf numFmtId="0" fontId="12" fillId="9" borderId="0" xfId="0" applyFont="1" applyFill="1" applyAlignment="1" applyProtection="1">
      <alignment horizontal="center" vertical="center"/>
    </xf>
    <xf numFmtId="0" fontId="12" fillId="9" borderId="0" xfId="0" applyFont="1" applyFill="1" applyAlignment="1" applyProtection="1">
      <alignment horizontal="left" vertical="center"/>
    </xf>
    <xf numFmtId="0" fontId="14" fillId="9" borderId="2" xfId="0" applyFont="1" applyFill="1" applyBorder="1" applyAlignment="1" applyProtection="1">
      <alignment horizontal="left" vertical="center" indent="1"/>
    </xf>
    <xf numFmtId="0" fontId="21" fillId="9" borderId="3" xfId="0" applyFont="1" applyFill="1" applyBorder="1" applyAlignment="1" applyProtection="1">
      <alignment horizontal="left" vertical="center" indent="1"/>
    </xf>
    <xf numFmtId="0" fontId="16" fillId="9" borderId="2" xfId="0" applyFont="1" applyFill="1" applyBorder="1" applyAlignment="1" applyProtection="1">
      <alignment horizontal="left" vertical="center" indent="1"/>
    </xf>
    <xf numFmtId="3" fontId="21" fillId="9" borderId="3" xfId="0" applyNumberFormat="1" applyFont="1" applyFill="1" applyBorder="1" applyAlignment="1" applyProtection="1">
      <alignment horizontal="left" vertical="center" indent="1"/>
      <protection locked="0"/>
    </xf>
    <xf numFmtId="0" fontId="26" fillId="0" borderId="0" xfId="0" applyFont="1" applyAlignment="1" applyProtection="1">
      <alignment vertical="center"/>
    </xf>
    <xf numFmtId="3" fontId="21" fillId="9" borderId="3" xfId="0" applyNumberFormat="1" applyFont="1" applyFill="1" applyBorder="1" applyAlignment="1" applyProtection="1">
      <alignment horizontal="left" vertical="center" indent="1"/>
    </xf>
    <xf numFmtId="3" fontId="12" fillId="9" borderId="3" xfId="0" applyNumberFormat="1" applyFont="1" applyFill="1" applyBorder="1" applyAlignment="1" applyProtection="1">
      <alignment horizontal="left" vertical="center" indent="1"/>
      <protection locked="0"/>
    </xf>
    <xf numFmtId="3" fontId="16" fillId="9" borderId="2" xfId="0" applyNumberFormat="1" applyFont="1" applyFill="1" applyBorder="1" applyAlignment="1" applyProtection="1">
      <alignment horizontal="left" vertical="center" indent="1"/>
    </xf>
    <xf numFmtId="0" fontId="25" fillId="9" borderId="0" xfId="0" applyFont="1" applyFill="1" applyAlignment="1" applyProtection="1">
      <alignment horizontal="left" vertical="center" indent="1"/>
    </xf>
    <xf numFmtId="0" fontId="21" fillId="9" borderId="0" xfId="0" applyFont="1" applyFill="1" applyAlignment="1" applyProtection="1">
      <alignment horizontal="left" vertical="center" indent="1"/>
    </xf>
    <xf numFmtId="0" fontId="21" fillId="9" borderId="0" xfId="0" applyFont="1" applyFill="1" applyBorder="1" applyAlignment="1" applyProtection="1">
      <alignment horizontal="left" vertical="center" indent="1"/>
    </xf>
    <xf numFmtId="164" fontId="21" fillId="9" borderId="3" xfId="0" applyNumberFormat="1" applyFont="1" applyFill="1" applyBorder="1" applyAlignment="1" applyProtection="1">
      <alignment horizontal="left" vertical="center" indent="1"/>
      <protection locked="0"/>
    </xf>
    <xf numFmtId="0" fontId="24" fillId="0" borderId="0" xfId="0" applyFont="1" applyAlignment="1" applyProtection="1">
      <alignment vertical="center"/>
    </xf>
    <xf numFmtId="3" fontId="21" fillId="9" borderId="0" xfId="0" applyNumberFormat="1" applyFont="1" applyFill="1" applyBorder="1" applyAlignment="1" applyProtection="1">
      <alignment horizontal="left" vertical="center" indent="1"/>
    </xf>
    <xf numFmtId="0" fontId="16" fillId="9" borderId="0" xfId="0" applyFont="1" applyFill="1" applyBorder="1" applyAlignment="1" applyProtection="1">
      <alignment horizontal="left" vertical="center" indent="1"/>
    </xf>
    <xf numFmtId="164" fontId="21" fillId="9" borderId="0" xfId="0" applyNumberFormat="1" applyFont="1" applyFill="1" applyBorder="1" applyAlignment="1" applyProtection="1">
      <alignment horizontal="left" vertical="center" indent="1"/>
      <protection locked="0"/>
    </xf>
    <xf numFmtId="164" fontId="26" fillId="9" borderId="0" xfId="0" applyNumberFormat="1" applyFont="1" applyFill="1" applyBorder="1" applyAlignment="1" applyProtection="1">
      <alignment horizontal="left" vertical="center" indent="1"/>
    </xf>
    <xf numFmtId="0" fontId="12" fillId="0" borderId="0" xfId="0" applyFont="1" applyAlignment="1">
      <alignment horizontal="center" vertical="center"/>
    </xf>
    <xf numFmtId="0" fontId="12" fillId="0" borderId="0" xfId="0" applyFont="1" applyAlignment="1">
      <alignment horizontal="left" vertical="center" indent="1"/>
    </xf>
    <xf numFmtId="164" fontId="12" fillId="0" borderId="0" xfId="0" applyNumberFormat="1" applyFont="1" applyAlignment="1">
      <alignment horizontal="center" vertical="center"/>
    </xf>
    <xf numFmtId="1" fontId="12" fillId="0" borderId="0" xfId="0" applyNumberFormat="1" applyFont="1" applyAlignment="1">
      <alignment horizontal="center" vertical="center"/>
    </xf>
    <xf numFmtId="1" fontId="20" fillId="0" borderId="0" xfId="0" applyNumberFormat="1" applyFont="1" applyAlignment="1">
      <alignment horizontal="center" vertical="center"/>
    </xf>
    <xf numFmtId="164" fontId="12" fillId="9" borderId="0" xfId="0" applyNumberFormat="1" applyFont="1" applyFill="1" applyAlignment="1">
      <alignment horizontal="center" vertical="center"/>
    </xf>
    <xf numFmtId="1" fontId="12" fillId="9" borderId="0" xfId="0" applyNumberFormat="1" applyFont="1" applyFill="1" applyAlignment="1">
      <alignment horizontal="center" vertical="center"/>
    </xf>
    <xf numFmtId="1" fontId="20" fillId="9" borderId="0" xfId="0" applyNumberFormat="1" applyFont="1" applyFill="1" applyAlignment="1">
      <alignment horizontal="center" vertical="center"/>
    </xf>
    <xf numFmtId="3" fontId="12" fillId="9" borderId="0" xfId="0" applyNumberFormat="1" applyFont="1" applyFill="1" applyAlignment="1">
      <alignment horizontal="center" vertical="center"/>
    </xf>
    <xf numFmtId="0" fontId="13" fillId="9" borderId="0" xfId="0" applyFont="1" applyFill="1" applyBorder="1" applyAlignment="1">
      <alignment horizontal="left" vertical="top"/>
    </xf>
    <xf numFmtId="0" fontId="13" fillId="9" borderId="0" xfId="0" applyFont="1" applyFill="1" applyBorder="1" applyAlignment="1">
      <alignment vertical="top"/>
    </xf>
    <xf numFmtId="0" fontId="12" fillId="0" borderId="4" xfId="0" applyFont="1" applyBorder="1" applyAlignment="1">
      <alignment horizontal="center" vertical="center"/>
    </xf>
    <xf numFmtId="0" fontId="12" fillId="10" borderId="0" xfId="0" applyFont="1" applyFill="1" applyAlignment="1">
      <alignment vertical="center"/>
    </xf>
    <xf numFmtId="0" fontId="12" fillId="0" borderId="0" xfId="0" applyFont="1" applyFill="1" applyAlignment="1">
      <alignment vertical="center"/>
    </xf>
    <xf numFmtId="0" fontId="16" fillId="9" borderId="0" xfId="0" applyFont="1" applyFill="1" applyBorder="1" applyAlignment="1">
      <alignment horizontal="left" vertical="center"/>
    </xf>
    <xf numFmtId="0" fontId="12" fillId="0" borderId="5" xfId="0" applyFont="1" applyBorder="1" applyAlignment="1">
      <alignment horizontal="center" vertical="center"/>
    </xf>
    <xf numFmtId="0" fontId="22" fillId="11" borderId="6" xfId="0" applyFont="1" applyFill="1" applyBorder="1" applyAlignment="1">
      <alignment horizontal="left" vertical="center" indent="1"/>
    </xf>
    <xf numFmtId="0" fontId="22" fillId="11" borderId="6" xfId="0" applyFont="1" applyFill="1" applyBorder="1" applyAlignment="1">
      <alignment horizontal="center" vertical="center"/>
    </xf>
    <xf numFmtId="164" fontId="22" fillId="11" borderId="6" xfId="0" applyNumberFormat="1" applyFont="1" applyFill="1" applyBorder="1" applyAlignment="1">
      <alignment horizontal="center" vertical="center"/>
    </xf>
    <xf numFmtId="1" fontId="22" fillId="11" borderId="6" xfId="0" applyNumberFormat="1" applyFont="1" applyFill="1" applyBorder="1" applyAlignment="1">
      <alignment horizontal="center" vertical="center"/>
    </xf>
    <xf numFmtId="0" fontId="28" fillId="0" borderId="0" xfId="0" applyFont="1" applyAlignment="1">
      <alignment vertical="center" wrapText="1"/>
    </xf>
    <xf numFmtId="0" fontId="29" fillId="0" borderId="0" xfId="0" applyFont="1" applyAlignment="1">
      <alignment vertical="center" wrapText="1"/>
    </xf>
    <xf numFmtId="0" fontId="22" fillId="12" borderId="3" xfId="0" applyFont="1" applyFill="1" applyBorder="1" applyAlignment="1">
      <alignment horizontal="left" vertical="center" indent="1"/>
    </xf>
    <xf numFmtId="164" fontId="22" fillId="12" borderId="3" xfId="0" applyNumberFormat="1" applyFont="1" applyFill="1" applyBorder="1" applyAlignment="1">
      <alignment horizontal="center" vertical="center"/>
    </xf>
    <xf numFmtId="1" fontId="22" fillId="12" borderId="3" xfId="0" applyNumberFormat="1" applyFont="1" applyFill="1" applyBorder="1" applyAlignment="1">
      <alignment horizontal="center" vertical="center"/>
    </xf>
    <xf numFmtId="164" fontId="30" fillId="0" borderId="0" xfId="16" applyFont="1" applyFill="1" applyBorder="1" applyAlignment="1" applyProtection="1">
      <alignment vertical="center"/>
    </xf>
    <xf numFmtId="0" fontId="14" fillId="12" borderId="3" xfId="0" applyFont="1" applyFill="1" applyBorder="1" applyAlignment="1">
      <alignment horizontal="left" vertical="center" indent="1"/>
    </xf>
    <xf numFmtId="0" fontId="14" fillId="12" borderId="3" xfId="0" applyFont="1" applyFill="1" applyBorder="1" applyAlignment="1">
      <alignment horizontal="left" vertical="center"/>
    </xf>
    <xf numFmtId="165" fontId="14" fillId="12" borderId="7" xfId="0" applyNumberFormat="1" applyFont="1" applyFill="1" applyBorder="1" applyAlignment="1" applyProtection="1">
      <alignment horizontal="center" vertical="center"/>
      <protection locked="0"/>
    </xf>
    <xf numFmtId="164" fontId="31" fillId="12" borderId="7" xfId="0" applyNumberFormat="1" applyFont="1" applyFill="1" applyBorder="1" applyAlignment="1" applyProtection="1">
      <alignment horizontal="center" vertical="center"/>
      <protection locked="0"/>
    </xf>
    <xf numFmtId="0" fontId="15" fillId="12" borderId="3" xfId="0" applyFont="1" applyFill="1" applyBorder="1" applyAlignment="1">
      <alignment horizontal="left" vertical="center"/>
    </xf>
    <xf numFmtId="164" fontId="14" fillId="12" borderId="3" xfId="0" applyNumberFormat="1" applyFont="1" applyFill="1" applyBorder="1" applyAlignment="1">
      <alignment horizontal="center" vertical="center"/>
    </xf>
    <xf numFmtId="1" fontId="14" fillId="12" borderId="3" xfId="0" applyNumberFormat="1" applyFont="1" applyFill="1" applyBorder="1" applyAlignment="1">
      <alignment horizontal="center" vertical="center"/>
    </xf>
    <xf numFmtId="0" fontId="32" fillId="0" borderId="0" xfId="0" applyNumberFormat="1" applyFont="1" applyAlignment="1" applyProtection="1">
      <alignment vertical="center"/>
    </xf>
    <xf numFmtId="0" fontId="16" fillId="9" borderId="8" xfId="0" applyFont="1" applyFill="1" applyBorder="1" applyAlignment="1">
      <alignment horizontal="left" vertical="center" wrapText="1" indent="1"/>
    </xf>
    <xf numFmtId="0" fontId="34" fillId="9" borderId="7" xfId="0" applyFont="1" applyFill="1" applyBorder="1" applyAlignment="1" applyProtection="1">
      <alignment horizontal="left" vertical="center" wrapText="1"/>
      <protection locked="0"/>
    </xf>
    <xf numFmtId="0" fontId="33" fillId="9" borderId="7" xfId="0" applyFont="1" applyFill="1" applyBorder="1" applyAlignment="1" applyProtection="1">
      <alignment horizontal="center" vertical="center" wrapText="1"/>
      <protection locked="0"/>
    </xf>
    <xf numFmtId="1" fontId="21" fillId="9" borderId="3" xfId="0" applyNumberFormat="1" applyFont="1" applyFill="1" applyBorder="1" applyAlignment="1" applyProtection="1">
      <alignment horizontal="center" vertical="center"/>
      <protection locked="0"/>
    </xf>
    <xf numFmtId="1" fontId="35" fillId="9" borderId="8" xfId="0" applyNumberFormat="1" applyFont="1" applyFill="1" applyBorder="1" applyAlignment="1">
      <alignment horizontal="center" vertical="center"/>
    </xf>
    <xf numFmtId="0" fontId="36" fillId="12" borderId="3" xfId="0" applyFont="1" applyFill="1" applyBorder="1" applyAlignment="1">
      <alignment horizontal="left" vertical="center"/>
    </xf>
    <xf numFmtId="0" fontId="31" fillId="12" borderId="3" xfId="0" applyFont="1" applyFill="1" applyBorder="1" applyAlignment="1">
      <alignment horizontal="left" vertical="center"/>
    </xf>
    <xf numFmtId="165" fontId="22" fillId="12" borderId="3" xfId="0" applyNumberFormat="1" applyFont="1" applyFill="1" applyBorder="1" applyAlignment="1" applyProtection="1">
      <alignment horizontal="left" vertical="center" indent="1"/>
      <protection locked="0"/>
    </xf>
    <xf numFmtId="0" fontId="37" fillId="12" borderId="3" xfId="0" applyFont="1" applyFill="1" applyBorder="1" applyAlignment="1">
      <alignment horizontal="left" vertical="center" indent="1"/>
    </xf>
    <xf numFmtId="164" fontId="31" fillId="12" borderId="7" xfId="0" applyNumberFormat="1" applyFont="1" applyFill="1" applyBorder="1" applyAlignment="1" applyProtection="1">
      <alignment horizontal="center" vertical="center"/>
    </xf>
    <xf numFmtId="0" fontId="12" fillId="0" borderId="0" xfId="0" applyNumberFormat="1" applyFont="1" applyAlignment="1">
      <alignment vertical="center"/>
    </xf>
    <xf numFmtId="0" fontId="16" fillId="9" borderId="8" xfId="0" applyFont="1" applyFill="1" applyBorder="1" applyAlignment="1">
      <alignment horizontal="left" vertical="center" indent="1"/>
    </xf>
    <xf numFmtId="164" fontId="33" fillId="9" borderId="7" xfId="0" applyNumberFormat="1" applyFont="1" applyFill="1" applyBorder="1" applyAlignment="1" applyProtection="1">
      <alignment horizontal="center" vertical="center"/>
    </xf>
    <xf numFmtId="0" fontId="37" fillId="12" borderId="3" xfId="0" applyFont="1" applyFill="1" applyBorder="1" applyAlignment="1" applyProtection="1">
      <alignment horizontal="left" vertical="center" indent="1"/>
    </xf>
    <xf numFmtId="0" fontId="16" fillId="9" borderId="6" xfId="0" applyFont="1" applyFill="1" applyBorder="1" applyAlignment="1">
      <alignment horizontal="left" vertical="center" wrapText="1" indent="1"/>
    </xf>
    <xf numFmtId="0" fontId="16" fillId="9" borderId="6" xfId="0" applyFont="1" applyFill="1" applyBorder="1" applyAlignment="1">
      <alignment horizontal="left" vertical="center" indent="1"/>
    </xf>
    <xf numFmtId="0" fontId="16" fillId="9" borderId="0" xfId="0" applyFont="1" applyFill="1" applyBorder="1" applyAlignment="1">
      <alignment horizontal="left" vertical="center" wrapText="1" indent="1"/>
    </xf>
    <xf numFmtId="0" fontId="33" fillId="9" borderId="9" xfId="0" applyFont="1" applyFill="1" applyBorder="1" applyAlignment="1" applyProtection="1">
      <alignment horizontal="center" vertical="center" wrapText="1"/>
      <protection locked="0"/>
    </xf>
    <xf numFmtId="0" fontId="14" fillId="12" borderId="3" xfId="0" applyFont="1" applyFill="1" applyBorder="1" applyAlignment="1">
      <alignment horizontal="left" vertical="center" wrapText="1"/>
    </xf>
    <xf numFmtId="0" fontId="31" fillId="12" borderId="3" xfId="0" applyFont="1" applyFill="1" applyBorder="1" applyAlignment="1">
      <alignment horizontal="center" vertical="center"/>
    </xf>
    <xf numFmtId="0" fontId="36" fillId="12" borderId="3" xfId="0" applyFont="1" applyFill="1" applyBorder="1" applyAlignment="1">
      <alignment horizontal="left" vertical="center" wrapText="1"/>
    </xf>
    <xf numFmtId="0" fontId="31" fillId="12" borderId="3" xfId="0" applyFont="1" applyFill="1" applyBorder="1" applyAlignment="1">
      <alignment horizontal="left" vertical="center" wrapText="1"/>
    </xf>
    <xf numFmtId="165" fontId="12" fillId="0" borderId="0" xfId="0" applyNumberFormat="1" applyFont="1" applyAlignment="1">
      <alignment horizontal="center" vertical="center"/>
    </xf>
    <xf numFmtId="0" fontId="39" fillId="0" borderId="0" xfId="0" applyFont="1" applyAlignment="1">
      <alignment wrapText="1"/>
    </xf>
    <xf numFmtId="0" fontId="39" fillId="0" borderId="0" xfId="0" applyFont="1" applyAlignment="1">
      <alignment horizontal="center" wrapText="1"/>
    </xf>
    <xf numFmtId="0" fontId="39" fillId="9" borderId="0" xfId="0" applyFont="1" applyFill="1" applyAlignment="1">
      <alignment wrapText="1"/>
    </xf>
    <xf numFmtId="0" fontId="39" fillId="9" borderId="0" xfId="0" applyFont="1" applyFill="1" applyAlignment="1">
      <alignment horizontal="center" wrapText="1"/>
    </xf>
    <xf numFmtId="0" fontId="39" fillId="9" borderId="0" xfId="0" applyFont="1" applyFill="1" applyBorder="1" applyAlignment="1">
      <alignment wrapText="1"/>
    </xf>
    <xf numFmtId="0" fontId="40" fillId="9" borderId="0" xfId="0" applyFont="1" applyFill="1" applyBorder="1" applyAlignment="1">
      <alignment vertical="center" wrapText="1"/>
    </xf>
    <xf numFmtId="0" fontId="40" fillId="9" borderId="10" xfId="0" applyFont="1" applyFill="1" applyBorder="1" applyAlignment="1">
      <alignment vertical="center" wrapText="1"/>
    </xf>
    <xf numFmtId="0" fontId="40" fillId="9" borderId="11" xfId="0" applyFont="1" applyFill="1" applyBorder="1" applyAlignment="1">
      <alignment vertical="center" wrapText="1"/>
    </xf>
    <xf numFmtId="0" fontId="40" fillId="9" borderId="11" xfId="0" applyFont="1" applyFill="1" applyBorder="1" applyAlignment="1">
      <alignment horizontal="center" vertical="center" wrapText="1"/>
    </xf>
    <xf numFmtId="0" fontId="40" fillId="9" borderId="12" xfId="0" applyFont="1" applyFill="1" applyBorder="1" applyAlignment="1">
      <alignment vertical="center" wrapText="1"/>
    </xf>
    <xf numFmtId="0" fontId="41" fillId="9" borderId="0" xfId="0" applyFont="1" applyFill="1" applyBorder="1" applyAlignment="1" applyProtection="1">
      <alignment vertical="center" wrapText="1"/>
    </xf>
    <xf numFmtId="0" fontId="42" fillId="9" borderId="13" xfId="0" applyFont="1" applyFill="1" applyBorder="1" applyAlignment="1">
      <alignment horizontal="right" wrapText="1" indent="1"/>
    </xf>
    <xf numFmtId="0" fontId="42" fillId="9" borderId="0" xfId="0" applyFont="1" applyFill="1" applyBorder="1" applyAlignment="1">
      <alignment horizontal="right" wrapText="1" indent="1"/>
    </xf>
    <xf numFmtId="0" fontId="39" fillId="9" borderId="14" xfId="0" applyFont="1" applyFill="1" applyBorder="1" applyAlignment="1">
      <alignment wrapText="1"/>
    </xf>
    <xf numFmtId="0" fontId="41" fillId="9" borderId="0" xfId="0" applyFont="1" applyFill="1" applyBorder="1" applyAlignment="1" applyProtection="1">
      <alignment horizontal="left" vertical="center" wrapText="1"/>
    </xf>
    <xf numFmtId="0" fontId="41" fillId="9" borderId="13" xfId="0" applyFont="1" applyFill="1" applyBorder="1" applyAlignment="1" applyProtection="1">
      <alignment horizontal="left" vertical="center" wrapText="1"/>
    </xf>
    <xf numFmtId="3" fontId="46" fillId="13" borderId="0" xfId="0" applyNumberFormat="1" applyFont="1" applyFill="1" applyBorder="1" applyAlignment="1" applyProtection="1">
      <alignment horizontal="center" vertical="center" wrapText="1"/>
    </xf>
    <xf numFmtId="3" fontId="49" fillId="14" borderId="15" xfId="0" applyNumberFormat="1" applyFont="1" applyFill="1" applyBorder="1" applyAlignment="1" applyProtection="1">
      <alignment horizontal="center" vertical="center" wrapText="1"/>
    </xf>
    <xf numFmtId="0" fontId="42" fillId="9" borderId="0" xfId="0" applyFont="1" applyFill="1" applyBorder="1" applyAlignment="1">
      <alignment horizontal="left" vertical="top" wrapText="1"/>
    </xf>
    <xf numFmtId="0" fontId="42" fillId="9" borderId="13" xfId="0" applyFont="1" applyFill="1" applyBorder="1" applyAlignment="1">
      <alignment horizontal="left" vertical="top" wrapText="1"/>
    </xf>
    <xf numFmtId="3" fontId="50" fillId="13" borderId="0" xfId="0" applyNumberFormat="1" applyFont="1" applyFill="1" applyBorder="1" applyAlignment="1" applyProtection="1">
      <alignment horizontal="center" vertical="center" wrapText="1"/>
    </xf>
    <xf numFmtId="3" fontId="51" fillId="13" borderId="0" xfId="0" applyNumberFormat="1" applyFont="1" applyFill="1" applyBorder="1" applyAlignment="1" applyProtection="1">
      <alignment vertical="center" wrapText="1"/>
    </xf>
    <xf numFmtId="1" fontId="47" fillId="13" borderId="0" xfId="0" applyNumberFormat="1" applyFont="1" applyFill="1" applyBorder="1" applyAlignment="1" applyProtection="1">
      <alignment horizontal="center" vertical="center" wrapText="1"/>
    </xf>
    <xf numFmtId="0" fontId="42" fillId="9" borderId="10" xfId="0" applyFont="1" applyFill="1" applyBorder="1" applyAlignment="1">
      <alignment horizontal="left" vertical="top" wrapText="1"/>
    </xf>
    <xf numFmtId="0" fontId="42" fillId="9" borderId="11" xfId="0" applyFont="1" applyFill="1" applyBorder="1" applyAlignment="1">
      <alignment horizontal="left" vertical="top" wrapText="1"/>
    </xf>
    <xf numFmtId="0" fontId="49" fillId="12" borderId="11" xfId="0" applyFont="1" applyFill="1" applyBorder="1" applyAlignment="1" applyProtection="1">
      <alignment vertical="center" wrapText="1"/>
    </xf>
    <xf numFmtId="3" fontId="47" fillId="9" borderId="16" xfId="0" applyNumberFormat="1" applyFont="1" applyFill="1" applyBorder="1" applyAlignment="1" applyProtection="1">
      <alignment horizontal="right" vertical="center" wrapText="1"/>
    </xf>
    <xf numFmtId="0" fontId="39" fillId="9" borderId="12" xfId="0" applyFont="1" applyFill="1" applyBorder="1" applyAlignment="1">
      <alignment wrapText="1"/>
    </xf>
    <xf numFmtId="0" fontId="39" fillId="0" borderId="13" xfId="0" applyFont="1" applyBorder="1" applyAlignment="1">
      <alignment wrapText="1"/>
    </xf>
    <xf numFmtId="0" fontId="39" fillId="0" borderId="0" xfId="0" applyFont="1" applyBorder="1" applyAlignment="1">
      <alignment wrapText="1"/>
    </xf>
    <xf numFmtId="0" fontId="49" fillId="12" borderId="0" xfId="0" applyFont="1" applyFill="1" applyBorder="1" applyAlignment="1" applyProtection="1">
      <alignment vertical="center" wrapText="1"/>
    </xf>
    <xf numFmtId="0" fontId="49" fillId="14" borderId="0" xfId="0" applyFont="1" applyFill="1" applyBorder="1" applyAlignment="1" applyProtection="1">
      <alignment vertical="center" wrapText="1"/>
    </xf>
    <xf numFmtId="0" fontId="49" fillId="14" borderId="18" xfId="0" applyFont="1" applyFill="1" applyBorder="1" applyAlignment="1" applyProtection="1">
      <alignment vertical="center" wrapText="1"/>
    </xf>
    <xf numFmtId="0" fontId="41" fillId="12" borderId="19" xfId="0" applyFont="1" applyFill="1" applyBorder="1" applyAlignment="1" applyProtection="1">
      <alignment horizontal="center" vertical="center" wrapText="1"/>
    </xf>
    <xf numFmtId="0" fontId="41" fillId="12" borderId="20" xfId="0" applyFont="1" applyFill="1" applyBorder="1" applyAlignment="1" applyProtection="1">
      <alignment horizontal="center" vertical="center" wrapText="1"/>
    </xf>
    <xf numFmtId="0" fontId="41" fillId="12" borderId="21" xfId="0" applyFont="1" applyFill="1" applyBorder="1" applyAlignment="1" applyProtection="1">
      <alignment horizontal="center" vertical="center" wrapText="1"/>
    </xf>
    <xf numFmtId="3" fontId="47" fillId="9" borderId="22" xfId="0" applyNumberFormat="1" applyFont="1" applyFill="1" applyBorder="1" applyAlignment="1" applyProtection="1">
      <alignment horizontal="left" vertical="center" wrapText="1"/>
    </xf>
    <xf numFmtId="3" fontId="47" fillId="9" borderId="23" xfId="0" applyNumberFormat="1" applyFont="1" applyFill="1" applyBorder="1" applyAlignment="1" applyProtection="1">
      <alignment horizontal="left" vertical="center" wrapText="1"/>
    </xf>
    <xf numFmtId="167" fontId="47" fillId="9" borderId="24" xfId="13" applyNumberFormat="1" applyFont="1" applyFill="1" applyBorder="1" applyAlignment="1" applyProtection="1">
      <alignment horizontal="left" vertical="center" wrapText="1"/>
    </xf>
    <xf numFmtId="0" fontId="49" fillId="12" borderId="19" xfId="0" applyFont="1" applyFill="1" applyBorder="1" applyAlignment="1" applyProtection="1">
      <alignment horizontal="center" vertical="center" wrapText="1"/>
    </xf>
    <xf numFmtId="0" fontId="49" fillId="12" borderId="20" xfId="0" applyFont="1" applyFill="1" applyBorder="1" applyAlignment="1" applyProtection="1">
      <alignment horizontal="center" vertical="center" wrapText="1"/>
    </xf>
    <xf numFmtId="0" fontId="49" fillId="12" borderId="21" xfId="0" applyFont="1" applyFill="1" applyBorder="1" applyAlignment="1" applyProtection="1">
      <alignment horizontal="center" vertical="center" wrapText="1"/>
    </xf>
    <xf numFmtId="0" fontId="49" fillId="9" borderId="13" xfId="0" applyFont="1" applyFill="1" applyBorder="1" applyAlignment="1" applyProtection="1">
      <alignment horizontal="left" vertical="center" wrapText="1"/>
    </xf>
    <xf numFmtId="0" fontId="49" fillId="9" borderId="0" xfId="0" applyFont="1" applyFill="1" applyBorder="1" applyAlignment="1" applyProtection="1">
      <alignment horizontal="left" vertical="center" wrapText="1"/>
    </xf>
    <xf numFmtId="3" fontId="47" fillId="9" borderId="25" xfId="0" applyNumberFormat="1" applyFont="1" applyFill="1" applyBorder="1" applyAlignment="1" applyProtection="1">
      <alignment horizontal="left" vertical="center" wrapText="1"/>
    </xf>
    <xf numFmtId="0" fontId="47" fillId="9" borderId="18" xfId="0" applyFont="1" applyFill="1" applyBorder="1" applyAlignment="1" applyProtection="1">
      <alignment horizontal="left" vertical="center" wrapText="1"/>
    </xf>
    <xf numFmtId="167" fontId="47" fillId="9" borderId="26" xfId="13" applyNumberFormat="1" applyFont="1" applyFill="1" applyBorder="1" applyAlignment="1" applyProtection="1">
      <alignment horizontal="left" vertical="center" wrapText="1"/>
    </xf>
    <xf numFmtId="165" fontId="38" fillId="13" borderId="19" xfId="13" applyNumberFormat="1" applyFont="1" applyFill="1" applyBorder="1" applyAlignment="1" applyProtection="1">
      <alignment horizontal="center" vertical="center" wrapText="1"/>
    </xf>
    <xf numFmtId="165" fontId="38" fillId="13" borderId="20" xfId="13" applyNumberFormat="1" applyFont="1" applyFill="1" applyBorder="1" applyAlignment="1" applyProtection="1">
      <alignment horizontal="center" vertical="center" wrapText="1"/>
    </xf>
    <xf numFmtId="165" fontId="39" fillId="13" borderId="20" xfId="0" applyNumberFormat="1" applyFont="1" applyFill="1" applyBorder="1" applyAlignment="1">
      <alignment horizontal="center" vertical="center" wrapText="1"/>
    </xf>
    <xf numFmtId="165" fontId="39" fillId="13" borderId="21" xfId="0" applyNumberFormat="1" applyFont="1" applyFill="1" applyBorder="1" applyAlignment="1">
      <alignment horizontal="center" vertical="center" wrapText="1"/>
    </xf>
    <xf numFmtId="1" fontId="54" fillId="9" borderId="14" xfId="0" applyNumberFormat="1" applyFont="1" applyFill="1" applyBorder="1" applyAlignment="1">
      <alignment wrapText="1"/>
    </xf>
    <xf numFmtId="0" fontId="47" fillId="9" borderId="25" xfId="0" applyFont="1" applyFill="1" applyBorder="1" applyAlignment="1" applyProtection="1">
      <alignment horizontal="left" vertical="center" wrapText="1"/>
    </xf>
    <xf numFmtId="1" fontId="39" fillId="13" borderId="19" xfId="0" applyNumberFormat="1" applyFont="1" applyFill="1" applyBorder="1" applyAlignment="1">
      <alignment horizontal="center" vertical="center" wrapText="1"/>
    </xf>
    <xf numFmtId="1" fontId="39" fillId="13" borderId="20" xfId="0" applyNumberFormat="1" applyFont="1" applyFill="1" applyBorder="1" applyAlignment="1">
      <alignment horizontal="center" vertical="center" wrapText="1"/>
    </xf>
    <xf numFmtId="1" fontId="39" fillId="13" borderId="21" xfId="0" applyNumberFormat="1" applyFont="1" applyFill="1" applyBorder="1" applyAlignment="1">
      <alignment horizontal="center" vertical="center" wrapText="1"/>
    </xf>
    <xf numFmtId="0" fontId="55" fillId="12" borderId="19" xfId="0" applyFont="1" applyFill="1" applyBorder="1" applyAlignment="1" applyProtection="1">
      <alignment horizontal="center" vertical="center" wrapText="1"/>
    </xf>
    <xf numFmtId="0" fontId="55" fillId="12" borderId="20" xfId="0" applyFont="1" applyFill="1" applyBorder="1" applyAlignment="1" applyProtection="1">
      <alignment horizontal="center" vertical="center" wrapText="1"/>
    </xf>
    <xf numFmtId="0" fontId="55" fillId="12" borderId="21" xfId="0" applyFont="1" applyFill="1" applyBorder="1" applyAlignment="1" applyProtection="1">
      <alignment horizontal="center" vertical="center" wrapText="1"/>
    </xf>
    <xf numFmtId="0" fontId="47" fillId="9" borderId="27" xfId="0" applyFont="1" applyFill="1" applyBorder="1" applyAlignment="1" applyProtection="1">
      <alignment horizontal="left" vertical="center" wrapText="1"/>
    </xf>
    <xf numFmtId="0" fontId="47" fillId="9" borderId="28" xfId="0" applyFont="1" applyFill="1" applyBorder="1" applyAlignment="1" applyProtection="1">
      <alignment horizontal="left" vertical="center" wrapText="1"/>
    </xf>
    <xf numFmtId="167" fontId="47" fillId="9" borderId="29" xfId="13" applyNumberFormat="1" applyFont="1" applyFill="1" applyBorder="1" applyAlignment="1" applyProtection="1">
      <alignment horizontal="left" vertical="center" wrapText="1"/>
    </xf>
    <xf numFmtId="3" fontId="46" fillId="9" borderId="0" xfId="0" applyNumberFormat="1" applyFont="1" applyFill="1" applyBorder="1" applyAlignment="1" applyProtection="1">
      <alignment horizontal="center" vertical="center" wrapText="1"/>
    </xf>
    <xf numFmtId="167" fontId="46" fillId="9" borderId="30" xfId="13" applyNumberFormat="1" applyFont="1" applyFill="1" applyBorder="1" applyAlignment="1" applyProtection="1">
      <alignment horizontal="center" vertical="center" wrapText="1"/>
    </xf>
    <xf numFmtId="167" fontId="46" fillId="9" borderId="31" xfId="13" applyNumberFormat="1" applyFont="1" applyFill="1" applyBorder="1" applyAlignment="1" applyProtection="1">
      <alignment horizontal="center" vertical="center" wrapText="1"/>
    </xf>
    <xf numFmtId="0" fontId="49" fillId="12" borderId="31" xfId="0" applyFont="1" applyFill="1" applyBorder="1" applyAlignment="1" applyProtection="1">
      <alignment vertical="center" wrapText="1"/>
    </xf>
    <xf numFmtId="0" fontId="41" fillId="12" borderId="31" xfId="0" applyFont="1" applyFill="1" applyBorder="1" applyAlignment="1" applyProtection="1">
      <alignment vertical="center" wrapText="1"/>
    </xf>
    <xf numFmtId="0" fontId="49" fillId="12" borderId="32" xfId="0" applyFont="1" applyFill="1" applyBorder="1" applyAlignment="1" applyProtection="1">
      <alignment horizontal="center" vertical="center" wrapText="1"/>
    </xf>
    <xf numFmtId="0" fontId="49" fillId="12" borderId="33" xfId="0" applyFont="1" applyFill="1" applyBorder="1" applyAlignment="1" applyProtection="1">
      <alignment horizontal="center" vertical="center" wrapText="1"/>
    </xf>
    <xf numFmtId="0" fontId="49" fillId="12" borderId="34" xfId="0" applyFont="1" applyFill="1" applyBorder="1" applyAlignment="1" applyProtection="1">
      <alignment horizontal="center" vertical="center" wrapText="1"/>
    </xf>
    <xf numFmtId="1" fontId="54" fillId="9" borderId="35" xfId="0" applyNumberFormat="1" applyFont="1" applyFill="1" applyBorder="1" applyAlignment="1">
      <alignment wrapText="1"/>
    </xf>
    <xf numFmtId="167" fontId="47" fillId="9" borderId="16" xfId="13" applyNumberFormat="1" applyFont="1" applyFill="1" applyBorder="1" applyAlignment="1" applyProtection="1">
      <alignment horizontal="left" vertical="center" wrapText="1"/>
    </xf>
    <xf numFmtId="166" fontId="87" fillId="12" borderId="0" xfId="13" applyFill="1" applyBorder="1" applyAlignment="1" applyProtection="1">
      <alignment vertical="center" wrapText="1"/>
    </xf>
    <xf numFmtId="167" fontId="47" fillId="9" borderId="37" xfId="13" applyNumberFormat="1" applyFont="1" applyFill="1" applyBorder="1" applyAlignment="1" applyProtection="1">
      <alignment horizontal="left" vertical="center" wrapText="1"/>
    </xf>
    <xf numFmtId="0" fontId="41" fillId="9" borderId="13" xfId="0" applyFont="1" applyFill="1" applyBorder="1" applyAlignment="1" applyProtection="1">
      <alignment vertical="center" wrapText="1"/>
    </xf>
    <xf numFmtId="168" fontId="87" fillId="12" borderId="0" xfId="13" applyNumberFormat="1" applyFill="1" applyBorder="1" applyAlignment="1" applyProtection="1">
      <alignment horizontal="center" vertical="center" wrapText="1"/>
    </xf>
    <xf numFmtId="0" fontId="41" fillId="12" borderId="36" xfId="0" applyFont="1" applyFill="1" applyBorder="1" applyAlignment="1" applyProtection="1">
      <alignment vertical="center" wrapText="1"/>
    </xf>
    <xf numFmtId="3" fontId="47" fillId="9" borderId="38" xfId="0" applyNumberFormat="1" applyFont="1" applyFill="1" applyBorder="1" applyAlignment="1" applyProtection="1">
      <alignment vertical="center" wrapText="1"/>
    </xf>
    <xf numFmtId="169" fontId="38" fillId="13" borderId="19" xfId="13" applyNumberFormat="1" applyFont="1" applyFill="1" applyBorder="1" applyAlignment="1" applyProtection="1">
      <alignment horizontal="center" vertical="center" wrapText="1"/>
    </xf>
    <xf numFmtId="169" fontId="38" fillId="13" borderId="20" xfId="13" applyNumberFormat="1" applyFont="1" applyFill="1" applyBorder="1" applyAlignment="1" applyProtection="1">
      <alignment horizontal="center" vertical="center" wrapText="1"/>
    </xf>
    <xf numFmtId="169" fontId="38" fillId="13" borderId="21" xfId="13" applyNumberFormat="1" applyFont="1" applyFill="1" applyBorder="1" applyAlignment="1" applyProtection="1">
      <alignment horizontal="center" vertical="center" wrapText="1"/>
    </xf>
    <xf numFmtId="1" fontId="42" fillId="9" borderId="14" xfId="0" applyNumberFormat="1" applyFont="1" applyFill="1" applyBorder="1" applyAlignment="1">
      <alignment wrapText="1"/>
    </xf>
    <xf numFmtId="165" fontId="87" fillId="12" borderId="0" xfId="13" applyNumberFormat="1" applyFill="1" applyBorder="1" applyAlignment="1" applyProtection="1">
      <alignment horizontal="center" vertical="center" wrapText="1"/>
    </xf>
    <xf numFmtId="167" fontId="47" fillId="9" borderId="39" xfId="13" applyNumberFormat="1" applyFont="1" applyFill="1" applyBorder="1" applyAlignment="1" applyProtection="1">
      <alignment horizontal="left" vertical="center" wrapText="1"/>
    </xf>
    <xf numFmtId="0" fontId="46" fillId="9" borderId="0" xfId="0" applyFont="1" applyFill="1" applyBorder="1" applyAlignment="1" applyProtection="1">
      <alignment horizontal="center" vertical="center" wrapText="1"/>
    </xf>
    <xf numFmtId="0" fontId="39" fillId="0" borderId="30" xfId="0" applyFont="1" applyBorder="1" applyAlignment="1">
      <alignment wrapText="1"/>
    </xf>
    <xf numFmtId="0" fontId="39" fillId="0" borderId="31" xfId="0" applyFont="1" applyBorder="1" applyAlignment="1">
      <alignment wrapText="1"/>
    </xf>
    <xf numFmtId="0" fontId="49" fillId="14" borderId="40" xfId="0" applyFont="1" applyFill="1" applyBorder="1" applyAlignment="1" applyProtection="1">
      <alignment horizontal="right" vertical="center" wrapText="1"/>
    </xf>
    <xf numFmtId="167" fontId="47" fillId="9" borderId="41" xfId="13" applyNumberFormat="1" applyFont="1" applyFill="1" applyBorder="1" applyAlignment="1" applyProtection="1">
      <alignment horizontal="left" vertical="center" wrapText="1"/>
    </xf>
    <xf numFmtId="0" fontId="55" fillId="12" borderId="32" xfId="0" applyFont="1" applyFill="1" applyBorder="1" applyAlignment="1" applyProtection="1">
      <alignment horizontal="center" vertical="center" wrapText="1"/>
    </xf>
    <xf numFmtId="0" fontId="55" fillId="12" borderId="33" xfId="0" applyFont="1" applyFill="1" applyBorder="1" applyAlignment="1" applyProtection="1">
      <alignment horizontal="center" vertical="center" wrapText="1"/>
    </xf>
    <xf numFmtId="0" fontId="55" fillId="12" borderId="34" xfId="0" applyFont="1" applyFill="1" applyBorder="1" applyAlignment="1" applyProtection="1">
      <alignment horizontal="center" vertical="center" wrapText="1"/>
    </xf>
    <xf numFmtId="1" fontId="42" fillId="9" borderId="35" xfId="0" applyNumberFormat="1" applyFont="1" applyFill="1" applyBorder="1" applyAlignment="1">
      <alignment wrapText="1"/>
    </xf>
    <xf numFmtId="167" fontId="46" fillId="9" borderId="13" xfId="13" applyNumberFormat="1" applyFont="1" applyFill="1" applyBorder="1" applyAlignment="1" applyProtection="1">
      <alignment horizontal="center" vertical="center" wrapText="1"/>
    </xf>
    <xf numFmtId="167" fontId="46" fillId="9" borderId="0" xfId="13" applyNumberFormat="1" applyFont="1" applyFill="1" applyBorder="1" applyAlignment="1" applyProtection="1">
      <alignment horizontal="center" vertical="center" wrapText="1"/>
    </xf>
    <xf numFmtId="167" fontId="47" fillId="9" borderId="38" xfId="13" applyNumberFormat="1" applyFont="1" applyFill="1" applyBorder="1" applyAlignment="1" applyProtection="1">
      <alignment vertical="center" wrapText="1"/>
    </xf>
    <xf numFmtId="167" fontId="47" fillId="9" borderId="42" xfId="13" applyNumberFormat="1" applyFont="1" applyFill="1" applyBorder="1" applyAlignment="1" applyProtection="1">
      <alignment vertical="center" wrapText="1"/>
    </xf>
    <xf numFmtId="0" fontId="49" fillId="12" borderId="36" xfId="0" applyFont="1" applyFill="1" applyBorder="1" applyAlignment="1" applyProtection="1">
      <alignment horizontal="right" vertical="center" wrapText="1"/>
    </xf>
    <xf numFmtId="3" fontId="47" fillId="9" borderId="43" xfId="0" applyNumberFormat="1" applyFont="1" applyFill="1" applyBorder="1" applyAlignment="1" applyProtection="1">
      <alignment vertical="center" wrapText="1"/>
    </xf>
    <xf numFmtId="164" fontId="47" fillId="9" borderId="44" xfId="16" applyFont="1" applyFill="1" applyBorder="1" applyAlignment="1" applyProtection="1">
      <alignment vertical="center" wrapText="1"/>
    </xf>
    <xf numFmtId="3" fontId="47" fillId="9" borderId="45" xfId="0" applyNumberFormat="1" applyFont="1" applyFill="1" applyBorder="1" applyAlignment="1" applyProtection="1">
      <alignment vertical="center" wrapText="1"/>
    </xf>
    <xf numFmtId="164" fontId="47" fillId="9" borderId="46" xfId="16" applyFont="1" applyFill="1" applyBorder="1" applyAlignment="1" applyProtection="1">
      <alignment vertical="center" wrapText="1"/>
    </xf>
    <xf numFmtId="3" fontId="47" fillId="9" borderId="47" xfId="0" applyNumberFormat="1" applyFont="1" applyFill="1" applyBorder="1" applyAlignment="1" applyProtection="1">
      <alignment vertical="center" wrapText="1"/>
    </xf>
    <xf numFmtId="164" fontId="47" fillId="9" borderId="48" xfId="16" applyFont="1" applyFill="1" applyBorder="1" applyAlignment="1" applyProtection="1">
      <alignment vertical="center" wrapText="1"/>
    </xf>
    <xf numFmtId="167" fontId="47" fillId="9" borderId="49" xfId="13" applyNumberFormat="1" applyFont="1" applyFill="1" applyBorder="1" applyAlignment="1" applyProtection="1">
      <alignment vertical="center" wrapText="1"/>
    </xf>
    <xf numFmtId="164" fontId="47" fillId="9" borderId="41" xfId="16" applyFont="1" applyFill="1" applyBorder="1" applyAlignment="1" applyProtection="1">
      <alignment horizontal="right" vertical="center" wrapText="1"/>
    </xf>
    <xf numFmtId="3" fontId="47" fillId="9" borderId="50" xfId="0" applyNumberFormat="1" applyFont="1" applyFill="1" applyBorder="1" applyAlignment="1" applyProtection="1">
      <alignment vertical="center" wrapText="1"/>
    </xf>
    <xf numFmtId="3" fontId="56" fillId="9" borderId="0" xfId="0" applyNumberFormat="1" applyFont="1" applyFill="1" applyBorder="1" applyAlignment="1" applyProtection="1">
      <alignment horizontal="left" vertical="center" wrapText="1"/>
    </xf>
    <xf numFmtId="3" fontId="47" fillId="9" borderId="22" xfId="0" applyNumberFormat="1" applyFont="1" applyFill="1" applyBorder="1" applyAlignment="1" applyProtection="1">
      <alignment vertical="center" wrapText="1"/>
    </xf>
    <xf numFmtId="3" fontId="47" fillId="9" borderId="24" xfId="0" applyNumberFormat="1" applyFont="1" applyFill="1" applyBorder="1" applyAlignment="1" applyProtection="1">
      <alignment vertical="center" wrapText="1"/>
    </xf>
    <xf numFmtId="164" fontId="47" fillId="9" borderId="51" xfId="16" applyFont="1" applyFill="1" applyBorder="1" applyAlignment="1" applyProtection="1">
      <alignment vertical="center" wrapText="1"/>
    </xf>
    <xf numFmtId="3" fontId="47" fillId="9" borderId="25" xfId="0" applyNumberFormat="1" applyFont="1" applyFill="1" applyBorder="1" applyAlignment="1" applyProtection="1">
      <alignment vertical="center" wrapText="1"/>
    </xf>
    <xf numFmtId="3" fontId="47" fillId="9" borderId="26" xfId="0" applyNumberFormat="1" applyFont="1" applyFill="1" applyBorder="1" applyAlignment="1" applyProtection="1">
      <alignment vertical="center" wrapText="1"/>
    </xf>
    <xf numFmtId="164" fontId="47" fillId="9" borderId="38" xfId="16" applyFont="1" applyFill="1" applyBorder="1" applyAlignment="1" applyProtection="1">
      <alignment vertical="center" wrapText="1"/>
    </xf>
    <xf numFmtId="0" fontId="49" fillId="9" borderId="0" xfId="0" applyFont="1" applyFill="1" applyBorder="1" applyAlignment="1" applyProtection="1">
      <alignment vertical="center" wrapText="1"/>
    </xf>
    <xf numFmtId="0" fontId="49" fillId="9" borderId="30" xfId="0" applyFont="1" applyFill="1" applyBorder="1" applyAlignment="1" applyProtection="1">
      <alignment vertical="center" wrapText="1"/>
    </xf>
    <xf numFmtId="0" fontId="49" fillId="9" borderId="31" xfId="0" applyFont="1" applyFill="1" applyBorder="1" applyAlignment="1" applyProtection="1">
      <alignment vertical="center" wrapText="1"/>
    </xf>
    <xf numFmtId="3" fontId="47" fillId="9" borderId="27" xfId="0" applyNumberFormat="1" applyFont="1" applyFill="1" applyBorder="1" applyAlignment="1" applyProtection="1">
      <alignment vertical="center" wrapText="1"/>
    </xf>
    <xf numFmtId="3" fontId="47" fillId="9" borderId="29" xfId="0" applyNumberFormat="1" applyFont="1" applyFill="1" applyBorder="1" applyAlignment="1" applyProtection="1">
      <alignment vertical="center" wrapText="1"/>
    </xf>
    <xf numFmtId="164" fontId="47" fillId="9" borderId="50" xfId="16" applyFont="1" applyFill="1" applyBorder="1" applyAlignment="1" applyProtection="1">
      <alignment vertical="center" wrapText="1"/>
    </xf>
    <xf numFmtId="0" fontId="57" fillId="9" borderId="0" xfId="0" applyFont="1" applyFill="1" applyAlignment="1">
      <alignment wrapText="1"/>
    </xf>
    <xf numFmtId="0" fontId="49" fillId="9" borderId="13" xfId="0" applyFont="1" applyFill="1" applyBorder="1" applyAlignment="1" applyProtection="1">
      <alignment vertical="center" wrapText="1"/>
    </xf>
    <xf numFmtId="1" fontId="39" fillId="13" borderId="32" xfId="0" applyNumberFormat="1" applyFont="1" applyFill="1" applyBorder="1" applyAlignment="1">
      <alignment horizontal="center" vertical="center" wrapText="1"/>
    </xf>
    <xf numFmtId="1" fontId="39" fillId="13" borderId="33" xfId="0" applyNumberFormat="1" applyFont="1" applyFill="1" applyBorder="1" applyAlignment="1">
      <alignment horizontal="center" vertical="center" wrapText="1"/>
    </xf>
    <xf numFmtId="1" fontId="39" fillId="13" borderId="34" xfId="0" applyNumberFormat="1" applyFont="1" applyFill="1" applyBorder="1" applyAlignment="1">
      <alignment horizontal="center" vertical="center" wrapText="1"/>
    </xf>
    <xf numFmtId="0" fontId="57" fillId="9" borderId="0" xfId="0" applyFont="1" applyFill="1" applyBorder="1" applyAlignment="1">
      <alignment horizontal="center" wrapText="1"/>
    </xf>
    <xf numFmtId="0" fontId="49" fillId="12" borderId="0" xfId="0" applyFont="1" applyFill="1" applyBorder="1" applyAlignment="1" applyProtection="1">
      <alignment horizontal="left" vertical="center" wrapText="1"/>
    </xf>
    <xf numFmtId="0" fontId="50" fillId="12" borderId="0" xfId="0" applyFont="1" applyFill="1" applyBorder="1" applyAlignment="1" applyProtection="1">
      <alignment horizontal="left" vertical="center" wrapText="1"/>
    </xf>
    <xf numFmtId="0" fontId="49" fillId="12" borderId="0" xfId="0" applyFont="1" applyFill="1" applyBorder="1" applyAlignment="1" applyProtection="1">
      <alignment horizontal="right" vertical="center" wrapText="1"/>
    </xf>
    <xf numFmtId="1" fontId="49" fillId="12" borderId="0" xfId="0" applyNumberFormat="1" applyFont="1" applyFill="1" applyBorder="1" applyAlignment="1" applyProtection="1">
      <alignment horizontal="right" vertical="center" wrapText="1"/>
    </xf>
    <xf numFmtId="1" fontId="39" fillId="9" borderId="0" xfId="0" applyNumberFormat="1" applyFont="1" applyFill="1" applyBorder="1" applyAlignment="1">
      <alignment horizontal="center" vertical="center" wrapText="1"/>
    </xf>
    <xf numFmtId="1" fontId="42" fillId="9" borderId="14" xfId="0" applyNumberFormat="1" applyFont="1" applyFill="1" applyBorder="1" applyAlignment="1">
      <alignment horizontal="center" vertical="center" wrapText="1"/>
    </xf>
    <xf numFmtId="0" fontId="50" fillId="12" borderId="0" xfId="0" applyFont="1" applyFill="1" applyBorder="1" applyAlignment="1" applyProtection="1">
      <alignment vertical="center" wrapText="1"/>
    </xf>
    <xf numFmtId="0" fontId="39" fillId="9" borderId="31" xfId="0" applyFont="1" applyFill="1" applyBorder="1" applyAlignment="1">
      <alignment wrapText="1"/>
    </xf>
    <xf numFmtId="1" fontId="42" fillId="9" borderId="31" xfId="0" applyNumberFormat="1" applyFont="1" applyFill="1" applyBorder="1" applyAlignment="1">
      <alignment horizontal="center" vertical="center" wrapText="1"/>
    </xf>
    <xf numFmtId="1" fontId="42" fillId="9" borderId="35" xfId="0" applyNumberFormat="1" applyFont="1" applyFill="1" applyBorder="1" applyAlignment="1">
      <alignment horizontal="center" vertical="center" wrapText="1"/>
    </xf>
    <xf numFmtId="0" fontId="39" fillId="0" borderId="0" xfId="0" applyFont="1" applyFill="1" applyBorder="1" applyAlignment="1">
      <alignment wrapText="1"/>
    </xf>
    <xf numFmtId="170" fontId="49" fillId="12" borderId="0" xfId="0" applyNumberFormat="1" applyFont="1" applyFill="1" applyBorder="1" applyAlignment="1" applyProtection="1">
      <alignment horizontal="left" vertical="center" wrapText="1"/>
    </xf>
    <xf numFmtId="165" fontId="39" fillId="9" borderId="0" xfId="0" applyNumberFormat="1" applyFont="1" applyFill="1" applyBorder="1" applyAlignment="1">
      <alignment horizontal="center" vertical="center" wrapText="1"/>
    </xf>
    <xf numFmtId="0" fontId="39" fillId="9" borderId="0" xfId="0" applyFont="1" applyFill="1" applyAlignment="1">
      <alignment horizontal="left" wrapText="1"/>
    </xf>
    <xf numFmtId="0" fontId="12" fillId="0" borderId="0" xfId="0" applyFont="1" applyFill="1" applyBorder="1" applyAlignment="1" applyProtection="1">
      <alignment vertical="center"/>
    </xf>
    <xf numFmtId="0" fontId="60" fillId="9" borderId="0" xfId="0" applyFont="1" applyFill="1" applyBorder="1" applyAlignment="1">
      <alignment horizontal="left" vertical="center"/>
    </xf>
    <xf numFmtId="0" fontId="12" fillId="9" borderId="0" xfId="0" applyFont="1" applyFill="1" applyBorder="1" applyAlignment="1" applyProtection="1">
      <alignment horizontal="left" vertical="center"/>
    </xf>
    <xf numFmtId="0" fontId="12" fillId="9" borderId="0" xfId="0" applyFont="1" applyFill="1" applyBorder="1" applyAlignment="1" applyProtection="1">
      <alignment horizontal="left" vertical="center" indent="2"/>
    </xf>
    <xf numFmtId="0" fontId="23" fillId="9" borderId="0" xfId="0" applyFont="1" applyFill="1" applyAlignment="1" applyProtection="1">
      <alignment horizontal="left" indent="2"/>
    </xf>
    <xf numFmtId="1" fontId="24" fillId="9" borderId="8" xfId="0" applyNumberFormat="1" applyFont="1" applyFill="1" applyBorder="1" applyAlignment="1" applyProtection="1">
      <alignment vertical="center"/>
    </xf>
    <xf numFmtId="164" fontId="12" fillId="9" borderId="0" xfId="0" applyNumberFormat="1" applyFont="1" applyFill="1" applyAlignment="1" applyProtection="1">
      <alignment horizontal="left" vertical="center"/>
    </xf>
    <xf numFmtId="0" fontId="63" fillId="11" borderId="52" xfId="0" applyFont="1" applyFill="1" applyBorder="1" applyAlignment="1" applyProtection="1">
      <alignment horizontal="right" vertical="center" wrapText="1" indent="1"/>
    </xf>
    <xf numFmtId="1" fontId="65" fillId="12" borderId="53" xfId="0" applyNumberFormat="1" applyFont="1" applyFill="1" applyBorder="1" applyAlignment="1" applyProtection="1">
      <alignment horizontal="right" vertical="center"/>
    </xf>
    <xf numFmtId="0" fontId="65" fillId="12" borderId="8" xfId="0" applyFont="1" applyFill="1" applyBorder="1" applyAlignment="1" applyProtection="1">
      <alignment horizontal="center" vertical="center"/>
    </xf>
    <xf numFmtId="1" fontId="65" fillId="12" borderId="8" xfId="0" applyNumberFormat="1" applyFont="1" applyFill="1" applyBorder="1" applyAlignment="1" applyProtection="1">
      <alignment horizontal="left" vertical="center"/>
    </xf>
    <xf numFmtId="164" fontId="60" fillId="12" borderId="54" xfId="0" applyNumberFormat="1" applyFont="1" applyFill="1" applyBorder="1" applyAlignment="1" applyProtection="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vertical="center"/>
    </xf>
    <xf numFmtId="0" fontId="0" fillId="9" borderId="0" xfId="0" applyFill="1" applyAlignment="1">
      <alignment vertical="center"/>
    </xf>
    <xf numFmtId="0" fontId="0" fillId="9" borderId="0" xfId="0" applyFill="1" applyAlignment="1">
      <alignment horizontal="center" vertical="center"/>
    </xf>
    <xf numFmtId="0" fontId="0" fillId="9" borderId="0" xfId="0" applyFill="1" applyAlignment="1">
      <alignment horizontal="left" vertical="center"/>
    </xf>
    <xf numFmtId="164" fontId="0" fillId="9" borderId="0" xfId="0" applyNumberFormat="1" applyFill="1" applyAlignment="1">
      <alignment horizontal="center" vertical="center"/>
    </xf>
    <xf numFmtId="0" fontId="66" fillId="9" borderId="0" xfId="0" applyFont="1" applyFill="1" applyAlignment="1">
      <alignment horizontal="left" vertical="center"/>
    </xf>
    <xf numFmtId="1" fontId="66" fillId="9" borderId="0" xfId="0" applyNumberFormat="1" applyFont="1" applyFill="1" applyBorder="1" applyAlignment="1">
      <alignment horizontal="center" vertical="center"/>
    </xf>
    <xf numFmtId="0" fontId="67" fillId="9" borderId="0" xfId="0" applyFont="1" applyFill="1" applyAlignment="1">
      <alignment vertical="center"/>
    </xf>
    <xf numFmtId="0" fontId="0" fillId="9" borderId="0" xfId="0" applyFont="1" applyFill="1" applyAlignment="1">
      <alignment vertical="center"/>
    </xf>
    <xf numFmtId="0" fontId="0" fillId="9" borderId="0" xfId="0" applyFont="1" applyFill="1" applyAlignment="1">
      <alignment horizontal="center" vertical="center"/>
    </xf>
    <xf numFmtId="0" fontId="0" fillId="9" borderId="0" xfId="0" applyFont="1" applyFill="1" applyAlignment="1">
      <alignment horizontal="left" vertical="center"/>
    </xf>
    <xf numFmtId="1" fontId="16" fillId="9" borderId="55" xfId="0" applyNumberFormat="1" applyFont="1" applyFill="1" applyBorder="1" applyAlignment="1">
      <alignment horizontal="left" vertical="center" indent="1"/>
    </xf>
    <xf numFmtId="1" fontId="16" fillId="9" borderId="56" xfId="0" applyNumberFormat="1" applyFont="1" applyFill="1" applyBorder="1" applyAlignment="1">
      <alignment horizontal="right" vertical="center"/>
    </xf>
    <xf numFmtId="0" fontId="16" fillId="9" borderId="56" xfId="0" applyFont="1" applyFill="1" applyBorder="1" applyAlignment="1">
      <alignment horizontal="center" vertical="center"/>
    </xf>
    <xf numFmtId="1" fontId="16" fillId="9" borderId="56" xfId="0" applyNumberFormat="1" applyFont="1" applyFill="1" applyBorder="1" applyAlignment="1">
      <alignment horizontal="left" vertical="center"/>
    </xf>
    <xf numFmtId="164" fontId="14" fillId="9" borderId="57" xfId="0" applyNumberFormat="1" applyFont="1" applyFill="1" applyBorder="1" applyAlignment="1">
      <alignment horizontal="right" vertical="center" indent="1"/>
    </xf>
    <xf numFmtId="1" fontId="22" fillId="12" borderId="55" xfId="0" applyNumberFormat="1" applyFont="1" applyFill="1" applyBorder="1" applyAlignment="1">
      <alignment horizontal="left" vertical="center" indent="1"/>
    </xf>
    <xf numFmtId="1" fontId="22" fillId="12" borderId="56" xfId="0" applyNumberFormat="1" applyFont="1" applyFill="1" applyBorder="1" applyAlignment="1">
      <alignment horizontal="right" vertical="center"/>
    </xf>
    <xf numFmtId="0" fontId="22" fillId="12" borderId="56" xfId="0" applyFont="1" applyFill="1" applyBorder="1" applyAlignment="1">
      <alignment horizontal="center" vertical="center"/>
    </xf>
    <xf numFmtId="1" fontId="22" fillId="12" borderId="56" xfId="0" applyNumberFormat="1" applyFont="1" applyFill="1" applyBorder="1" applyAlignment="1">
      <alignment horizontal="left" vertical="center"/>
    </xf>
    <xf numFmtId="164" fontId="22" fillId="12" borderId="57" xfId="0" applyNumberFormat="1" applyFont="1" applyFill="1" applyBorder="1" applyAlignment="1">
      <alignment horizontal="right" vertical="center" indent="1"/>
    </xf>
    <xf numFmtId="0" fontId="16" fillId="12" borderId="56" xfId="0" applyFont="1" applyFill="1" applyBorder="1" applyAlignment="1">
      <alignment horizontal="center" vertical="center"/>
    </xf>
    <xf numFmtId="0" fontId="68" fillId="9" borderId="0" xfId="0" applyFont="1" applyFill="1" applyBorder="1" applyAlignment="1">
      <alignment vertical="center"/>
    </xf>
    <xf numFmtId="0" fontId="69" fillId="9" borderId="0" xfId="0" applyFont="1" applyFill="1" applyBorder="1" applyAlignment="1">
      <alignment vertical="center"/>
    </xf>
    <xf numFmtId="0" fontId="14" fillId="9" borderId="0" xfId="0" applyFont="1" applyFill="1" applyAlignment="1">
      <alignment horizontal="left" vertical="center"/>
    </xf>
    <xf numFmtId="0" fontId="60" fillId="9" borderId="0" xfId="0" applyFont="1" applyFill="1" applyAlignment="1">
      <alignment horizontal="left" vertical="center"/>
    </xf>
    <xf numFmtId="0" fontId="13" fillId="9" borderId="0" xfId="0" applyFont="1" applyFill="1" applyAlignment="1">
      <alignment horizontal="left" vertical="center"/>
    </xf>
    <xf numFmtId="0" fontId="68" fillId="9" borderId="58" xfId="0" applyFont="1" applyFill="1" applyBorder="1" applyAlignment="1">
      <alignment horizontal="left" vertical="center"/>
    </xf>
    <xf numFmtId="0" fontId="27" fillId="9" borderId="58" xfId="0" applyFont="1" applyFill="1" applyBorder="1" applyAlignment="1">
      <alignment vertical="center" wrapText="1"/>
    </xf>
    <xf numFmtId="0" fontId="68" fillId="9" borderId="0" xfId="0" applyFont="1" applyFill="1" applyBorder="1" applyAlignment="1">
      <alignment horizontal="left" vertical="center"/>
    </xf>
    <xf numFmtId="0" fontId="27" fillId="9" borderId="0" xfId="0" applyFont="1" applyFill="1" applyBorder="1" applyAlignment="1">
      <alignment vertical="center" wrapText="1"/>
    </xf>
    <xf numFmtId="0" fontId="68" fillId="9" borderId="59" xfId="0" applyFont="1" applyFill="1" applyBorder="1" applyAlignment="1">
      <alignment horizontal="right" vertical="center"/>
    </xf>
    <xf numFmtId="0" fontId="68" fillId="9" borderId="60" xfId="0" applyFont="1" applyFill="1" applyBorder="1" applyAlignment="1">
      <alignment horizontal="right" vertical="center"/>
    </xf>
    <xf numFmtId="0" fontId="68" fillId="9" borderId="60" xfId="0" applyFont="1" applyFill="1" applyBorder="1" applyAlignment="1">
      <alignment horizontal="right" vertical="center" wrapText="1"/>
    </xf>
    <xf numFmtId="0" fontId="68" fillId="9" borderId="61" xfId="0" applyFont="1" applyFill="1" applyBorder="1" applyAlignment="1">
      <alignment horizontal="right"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70" fillId="11" borderId="13" xfId="0" applyFont="1" applyFill="1" applyBorder="1" applyAlignment="1">
      <alignment vertical="center" wrapText="1"/>
    </xf>
    <xf numFmtId="0" fontId="71" fillId="11" borderId="0" xfId="0" applyFont="1" applyFill="1" applyBorder="1" applyAlignment="1">
      <alignment vertical="center" wrapText="1"/>
    </xf>
    <xf numFmtId="0" fontId="70" fillId="11" borderId="30" xfId="0" applyFont="1" applyFill="1" applyBorder="1" applyAlignment="1">
      <alignment vertical="center" wrapText="1"/>
    </xf>
    <xf numFmtId="0" fontId="70" fillId="11" borderId="31" xfId="0" applyFont="1" applyFill="1" applyBorder="1" applyAlignment="1">
      <alignment vertical="center" wrapText="1"/>
    </xf>
    <xf numFmtId="0" fontId="73" fillId="0" borderId="30" xfId="0" applyFont="1" applyBorder="1" applyAlignment="1">
      <alignment horizontal="center" vertical="center" wrapText="1"/>
    </xf>
    <xf numFmtId="0" fontId="74" fillId="0" borderId="35" xfId="0" applyFont="1" applyBorder="1" applyAlignment="1">
      <alignment vertical="center" wrapText="1"/>
    </xf>
    <xf numFmtId="0" fontId="73" fillId="0" borderId="30" xfId="0" applyFont="1" applyBorder="1" applyAlignment="1">
      <alignment vertical="center" wrapText="1"/>
    </xf>
    <xf numFmtId="0" fontId="73" fillId="0" borderId="31" xfId="0" applyFont="1" applyBorder="1" applyAlignment="1">
      <alignment vertical="center" wrapText="1"/>
    </xf>
    <xf numFmtId="3" fontId="73" fillId="12" borderId="30" xfId="0" applyNumberFormat="1" applyFont="1" applyFill="1" applyBorder="1" applyAlignment="1" applyProtection="1">
      <alignment horizontal="center" vertical="center" wrapText="1"/>
    </xf>
    <xf numFmtId="3" fontId="73" fillId="12" borderId="35" xfId="0" applyNumberFormat="1" applyFont="1" applyFill="1" applyBorder="1" applyAlignment="1" applyProtection="1">
      <alignment horizontal="center" vertical="center" wrapText="1"/>
    </xf>
    <xf numFmtId="3" fontId="73" fillId="12" borderId="31" xfId="0" applyNumberFormat="1" applyFont="1" applyFill="1" applyBorder="1" applyAlignment="1" applyProtection="1">
      <alignment horizontal="center" vertical="center" wrapText="1"/>
    </xf>
    <xf numFmtId="0" fontId="27" fillId="0" borderId="62" xfId="0" applyFont="1" applyFill="1" applyBorder="1" applyAlignment="1">
      <alignment vertical="center" wrapText="1"/>
    </xf>
    <xf numFmtId="0" fontId="73" fillId="0" borderId="36" xfId="0" applyFont="1" applyFill="1" applyBorder="1" applyAlignment="1">
      <alignment horizontal="center" vertical="center" wrapText="1"/>
    </xf>
    <xf numFmtId="0" fontId="74" fillId="0" borderId="63" xfId="0" applyFont="1" applyFill="1" applyBorder="1" applyAlignment="1">
      <alignment vertical="center" wrapText="1"/>
    </xf>
    <xf numFmtId="0" fontId="70" fillId="11" borderId="64" xfId="0" applyFont="1" applyFill="1" applyBorder="1" applyAlignment="1">
      <alignment vertical="center" wrapText="1"/>
    </xf>
    <xf numFmtId="0" fontId="70" fillId="11" borderId="65" xfId="0" applyFont="1" applyFill="1" applyBorder="1" applyAlignment="1">
      <alignment vertical="center" wrapText="1"/>
    </xf>
    <xf numFmtId="0" fontId="74" fillId="0" borderId="64" xfId="0" applyFont="1" applyBorder="1" applyAlignment="1">
      <alignment horizontal="center" vertical="center" wrapText="1"/>
    </xf>
    <xf numFmtId="0" fontId="74" fillId="0" borderId="66" xfId="0" applyFont="1" applyBorder="1" applyAlignment="1">
      <alignment vertical="center" wrapText="1"/>
    </xf>
    <xf numFmtId="0" fontId="74" fillId="0" borderId="64" xfId="0" applyFont="1" applyBorder="1" applyAlignment="1">
      <alignment vertical="center" wrapText="1"/>
    </xf>
    <xf numFmtId="0" fontId="74" fillId="0" borderId="65" xfId="0" applyFont="1" applyBorder="1" applyAlignment="1">
      <alignment vertical="center" wrapText="1"/>
    </xf>
    <xf numFmtId="3" fontId="74" fillId="12" borderId="66" xfId="0" applyNumberFormat="1" applyFont="1" applyFill="1" applyBorder="1" applyAlignment="1" applyProtection="1">
      <alignment horizontal="center" vertical="center" wrapText="1"/>
    </xf>
    <xf numFmtId="3" fontId="74" fillId="12" borderId="65" xfId="0" applyNumberFormat="1" applyFont="1" applyFill="1" applyBorder="1" applyAlignment="1" applyProtection="1">
      <alignment horizontal="center" vertical="center" wrapText="1"/>
    </xf>
    <xf numFmtId="3" fontId="73" fillId="12" borderId="66" xfId="0" applyNumberFormat="1" applyFont="1" applyFill="1" applyBorder="1" applyAlignment="1" applyProtection="1">
      <alignment horizontal="center" vertical="center" wrapText="1"/>
    </xf>
    <xf numFmtId="0" fontId="74" fillId="0" borderId="36" xfId="0" applyFont="1" applyFill="1" applyBorder="1" applyAlignment="1">
      <alignment vertical="center" wrapText="1"/>
    </xf>
    <xf numFmtId="0" fontId="70" fillId="11" borderId="67" xfId="0" applyFont="1" applyFill="1" applyBorder="1" applyAlignment="1">
      <alignment vertical="center" wrapText="1"/>
    </xf>
    <xf numFmtId="0" fontId="74" fillId="0" borderId="67" xfId="0" applyFont="1" applyBorder="1" applyAlignment="1">
      <alignment horizontal="center" vertical="center" wrapText="1"/>
    </xf>
    <xf numFmtId="0" fontId="74" fillId="0" borderId="68" xfId="0" applyFont="1" applyBorder="1" applyAlignment="1">
      <alignment vertical="center" wrapText="1"/>
    </xf>
    <xf numFmtId="0" fontId="74" fillId="0" borderId="67" xfId="0" applyFont="1" applyBorder="1" applyAlignment="1">
      <alignment vertical="center" wrapText="1"/>
    </xf>
    <xf numFmtId="0" fontId="74" fillId="0" borderId="69" xfId="0" applyFont="1" applyBorder="1" applyAlignment="1">
      <alignment vertical="center" wrapText="1"/>
    </xf>
    <xf numFmtId="3" fontId="74" fillId="12" borderId="67" xfId="0" applyNumberFormat="1" applyFont="1" applyFill="1" applyBorder="1" applyAlignment="1" applyProtection="1">
      <alignment horizontal="center" vertical="center" wrapText="1"/>
    </xf>
    <xf numFmtId="3" fontId="73" fillId="12" borderId="68" xfId="0" applyNumberFormat="1" applyFont="1" applyFill="1" applyBorder="1" applyAlignment="1" applyProtection="1">
      <alignment horizontal="center" vertical="center" wrapText="1"/>
    </xf>
    <xf numFmtId="3" fontId="74" fillId="12" borderId="69" xfId="0" applyNumberFormat="1" applyFont="1" applyFill="1" applyBorder="1" applyAlignment="1" applyProtection="1">
      <alignment horizontal="center" vertical="center" wrapText="1"/>
    </xf>
    <xf numFmtId="0" fontId="74" fillId="0" borderId="70" xfId="0" applyFont="1" applyBorder="1" applyAlignment="1">
      <alignment vertical="center" wrapText="1"/>
    </xf>
    <xf numFmtId="0" fontId="74" fillId="0" borderId="71" xfId="0" applyFont="1" applyBorder="1" applyAlignment="1">
      <alignment vertical="center" wrapText="1"/>
    </xf>
    <xf numFmtId="0" fontId="74" fillId="0" borderId="72" xfId="0" applyFont="1" applyBorder="1" applyAlignment="1">
      <alignment vertical="center" wrapText="1"/>
    </xf>
    <xf numFmtId="0" fontId="74" fillId="0" borderId="14" xfId="0" applyFont="1" applyBorder="1" applyAlignment="1">
      <alignment vertical="center" wrapText="1"/>
    </xf>
    <xf numFmtId="0" fontId="74" fillId="0" borderId="13" xfId="0" applyFont="1" applyBorder="1" applyAlignment="1">
      <alignment vertical="center" wrapText="1"/>
    </xf>
    <xf numFmtId="0" fontId="74" fillId="0" borderId="0" xfId="0" applyFont="1" applyBorder="1" applyAlignment="1">
      <alignment vertical="center" wrapText="1"/>
    </xf>
    <xf numFmtId="3" fontId="74" fillId="12" borderId="68" xfId="0" applyNumberFormat="1" applyFont="1" applyFill="1" applyBorder="1" applyAlignment="1" applyProtection="1">
      <alignment horizontal="center" vertical="center" wrapText="1"/>
    </xf>
    <xf numFmtId="0" fontId="74" fillId="0" borderId="73" xfId="0" applyFont="1" applyBorder="1" applyAlignment="1">
      <alignment vertical="center" wrapText="1"/>
    </xf>
    <xf numFmtId="0" fontId="74" fillId="0" borderId="74" xfId="0" applyFont="1" applyBorder="1" applyAlignment="1">
      <alignment vertical="center" wrapText="1"/>
    </xf>
    <xf numFmtId="0" fontId="74" fillId="0" borderId="75" xfId="0" applyFont="1" applyBorder="1" applyAlignment="1">
      <alignment vertical="center" wrapText="1"/>
    </xf>
    <xf numFmtId="0" fontId="74" fillId="0" borderId="76" xfId="0" applyFont="1" applyBorder="1" applyAlignment="1">
      <alignment vertical="center" wrapText="1"/>
    </xf>
    <xf numFmtId="0" fontId="27" fillId="0" borderId="77" xfId="0" applyFont="1" applyFill="1" applyBorder="1" applyAlignment="1">
      <alignment vertical="center" wrapText="1"/>
    </xf>
    <xf numFmtId="0" fontId="74" fillId="0" borderId="40" xfId="0" applyFont="1" applyFill="1" applyBorder="1" applyAlignment="1">
      <alignment vertical="center" wrapText="1"/>
    </xf>
    <xf numFmtId="0" fontId="27" fillId="0" borderId="78" xfId="0" applyFont="1" applyFill="1" applyBorder="1" applyAlignment="1">
      <alignment vertical="center" wrapText="1"/>
    </xf>
    <xf numFmtId="0" fontId="70" fillId="11" borderId="79" xfId="0" applyFont="1" applyFill="1" applyBorder="1" applyAlignment="1">
      <alignment vertical="center" wrapText="1"/>
    </xf>
    <xf numFmtId="0" fontId="27" fillId="0" borderId="10" xfId="0" applyFont="1" applyBorder="1" applyAlignment="1">
      <alignment vertical="center" wrapText="1"/>
    </xf>
    <xf numFmtId="0" fontId="27" fillId="0" borderId="11" xfId="0" applyFont="1" applyBorder="1" applyAlignment="1">
      <alignment vertical="center" wrapText="1"/>
    </xf>
    <xf numFmtId="164" fontId="27" fillId="0" borderId="11" xfId="16" applyFont="1" applyFill="1" applyBorder="1" applyAlignment="1" applyProtection="1">
      <alignment horizontal="center" vertical="center" wrapText="1"/>
    </xf>
    <xf numFmtId="0" fontId="27" fillId="0" borderId="11" xfId="0" applyFont="1" applyBorder="1" applyAlignment="1">
      <alignment horizontal="center" vertical="center" wrapText="1"/>
    </xf>
    <xf numFmtId="2" fontId="27" fillId="0" borderId="11" xfId="0" applyNumberFormat="1" applyFont="1" applyBorder="1" applyAlignment="1">
      <alignment vertical="center" wrapText="1"/>
    </xf>
    <xf numFmtId="2" fontId="27" fillId="0" borderId="12" xfId="0" applyNumberFormat="1" applyFont="1" applyBorder="1" applyAlignment="1">
      <alignment vertical="center" wrapText="1"/>
    </xf>
    <xf numFmtId="0" fontId="27" fillId="0" borderId="13" xfId="0" applyFont="1" applyBorder="1" applyAlignment="1">
      <alignment vertical="center" wrapText="1"/>
    </xf>
    <xf numFmtId="0" fontId="27" fillId="0" borderId="0" xfId="0" applyFont="1" applyBorder="1" applyAlignment="1">
      <alignment vertical="center" wrapText="1"/>
    </xf>
    <xf numFmtId="164" fontId="27" fillId="0" borderId="0" xfId="16" applyFont="1" applyFill="1" applyBorder="1" applyAlignment="1" applyProtection="1">
      <alignment horizontal="center" vertical="center" wrapText="1"/>
    </xf>
    <xf numFmtId="2" fontId="27" fillId="0" borderId="0" xfId="0" applyNumberFormat="1" applyFont="1" applyBorder="1" applyAlignment="1">
      <alignment vertical="center" wrapText="1"/>
    </xf>
    <xf numFmtId="2" fontId="27" fillId="0" borderId="14" xfId="0" applyNumberFormat="1" applyFont="1" applyBorder="1" applyAlignment="1">
      <alignment vertical="center" wrapText="1"/>
    </xf>
    <xf numFmtId="164" fontId="27" fillId="0" borderId="0" xfId="0" applyNumberFormat="1" applyFont="1" applyBorder="1" applyAlignment="1">
      <alignment horizontal="center" vertical="center" wrapText="1"/>
    </xf>
    <xf numFmtId="0" fontId="27" fillId="0" borderId="30" xfId="0" applyFont="1" applyBorder="1" applyAlignment="1">
      <alignment vertical="center" wrapText="1"/>
    </xf>
    <xf numFmtId="0" fontId="72" fillId="0" borderId="31" xfId="0" applyFont="1" applyBorder="1" applyAlignment="1">
      <alignment vertical="center" wrapText="1"/>
    </xf>
    <xf numFmtId="0" fontId="27" fillId="0" borderId="31" xfId="0" applyFont="1" applyBorder="1" applyAlignment="1">
      <alignment horizontal="center" vertical="center" wrapText="1"/>
    </xf>
    <xf numFmtId="0" fontId="27" fillId="0" borderId="31" xfId="0" applyFont="1" applyBorder="1" applyAlignment="1">
      <alignment vertical="center" wrapText="1"/>
    </xf>
    <xf numFmtId="0" fontId="27" fillId="0" borderId="35" xfId="0" applyFont="1" applyBorder="1" applyAlignment="1">
      <alignment vertical="center" wrapText="1"/>
    </xf>
    <xf numFmtId="0" fontId="27" fillId="0" borderId="0" xfId="0" applyFont="1"/>
    <xf numFmtId="0" fontId="27" fillId="0" borderId="0" xfId="0" applyFont="1" applyAlignment="1">
      <alignment horizontal="center"/>
    </xf>
    <xf numFmtId="0" fontId="70" fillId="12" borderId="80" xfId="0" applyFont="1" applyFill="1" applyBorder="1" applyAlignment="1" applyProtection="1">
      <alignment horizontal="left" vertical="center" wrapText="1"/>
    </xf>
    <xf numFmtId="0" fontId="70" fillId="12" borderId="80" xfId="0" applyFont="1" applyFill="1" applyBorder="1" applyAlignment="1" applyProtection="1">
      <alignment horizontal="center" vertical="center" wrapText="1"/>
    </xf>
    <xf numFmtId="0" fontId="70" fillId="12" borderId="81" xfId="0" applyFont="1" applyFill="1" applyBorder="1" applyAlignment="1" applyProtection="1">
      <alignment horizontal="center" vertical="center" wrapText="1"/>
    </xf>
    <xf numFmtId="0" fontId="70" fillId="12" borderId="82" xfId="0" applyFont="1" applyFill="1" applyBorder="1" applyAlignment="1" applyProtection="1">
      <alignment horizontal="center" vertical="center" wrapText="1"/>
    </xf>
    <xf numFmtId="0" fontId="70" fillId="12" borderId="83" xfId="0" applyFont="1" applyFill="1" applyBorder="1" applyAlignment="1" applyProtection="1">
      <alignment horizontal="center" vertical="center" wrapText="1"/>
    </xf>
    <xf numFmtId="0" fontId="70" fillId="12" borderId="84" xfId="0" applyFont="1" applyFill="1" applyBorder="1" applyAlignment="1" applyProtection="1">
      <alignment horizontal="center" vertical="center" wrapText="1"/>
    </xf>
    <xf numFmtId="0" fontId="70" fillId="12" borderId="85" xfId="0" applyFont="1" applyFill="1" applyBorder="1" applyAlignment="1" applyProtection="1">
      <alignment horizontal="center" vertical="center" wrapText="1"/>
    </xf>
    <xf numFmtId="3" fontId="72" fillId="12" borderId="86" xfId="0" applyNumberFormat="1" applyFont="1" applyFill="1" applyBorder="1" applyAlignment="1" applyProtection="1">
      <alignment horizontal="center" vertical="center" wrapText="1"/>
    </xf>
    <xf numFmtId="3" fontId="72" fillId="12" borderId="16" xfId="0" applyNumberFormat="1" applyFont="1" applyFill="1" applyBorder="1" applyAlignment="1" applyProtection="1">
      <alignment horizontal="center" vertical="center" wrapText="1"/>
    </xf>
    <xf numFmtId="4" fontId="72" fillId="0" borderId="87" xfId="0" applyNumberFormat="1" applyFont="1" applyFill="1" applyBorder="1" applyAlignment="1" applyProtection="1">
      <alignment horizontal="center" vertical="center" wrapText="1"/>
    </xf>
    <xf numFmtId="3" fontId="72" fillId="0" borderId="80" xfId="0" applyNumberFormat="1" applyFont="1" applyFill="1" applyBorder="1" applyAlignment="1" applyProtection="1">
      <alignment horizontal="center" vertical="center" wrapText="1"/>
    </xf>
    <xf numFmtId="3" fontId="72" fillId="0" borderId="81" xfId="0" applyNumberFormat="1" applyFont="1" applyFill="1" applyBorder="1" applyAlignment="1" applyProtection="1">
      <alignment horizontal="center" vertical="center" wrapText="1"/>
    </xf>
    <xf numFmtId="164" fontId="27" fillId="0" borderId="0" xfId="16" applyFont="1" applyFill="1" applyBorder="1" applyAlignment="1" applyProtection="1"/>
    <xf numFmtId="0" fontId="27" fillId="0" borderId="13" xfId="0" applyFont="1" applyBorder="1"/>
    <xf numFmtId="0" fontId="27" fillId="0" borderId="0" xfId="0" applyFont="1" applyBorder="1"/>
    <xf numFmtId="165" fontId="27" fillId="0" borderId="0" xfId="0" applyNumberFormat="1" applyFont="1" applyBorder="1"/>
    <xf numFmtId="165" fontId="27" fillId="0" borderId="14" xfId="0" applyNumberFormat="1" applyFont="1" applyBorder="1"/>
    <xf numFmtId="0" fontId="70" fillId="12" borderId="81" xfId="0" applyFont="1" applyFill="1" applyBorder="1" applyAlignment="1" applyProtection="1">
      <alignment horizontal="left" vertical="center" wrapText="1"/>
    </xf>
    <xf numFmtId="3" fontId="72" fillId="12" borderId="22" xfId="0" applyNumberFormat="1" applyFont="1" applyFill="1" applyBorder="1" applyAlignment="1" applyProtection="1">
      <alignment horizontal="center" vertical="center" wrapText="1"/>
    </xf>
    <xf numFmtId="3" fontId="72" fillId="12" borderId="51" xfId="0" applyNumberFormat="1" applyFont="1" applyFill="1" applyBorder="1" applyAlignment="1" applyProtection="1">
      <alignment horizontal="center" vertical="center" wrapText="1"/>
    </xf>
    <xf numFmtId="0" fontId="27" fillId="15" borderId="88" xfId="0" applyFont="1" applyFill="1" applyBorder="1"/>
    <xf numFmtId="0" fontId="27" fillId="15" borderId="31" xfId="0" applyFont="1" applyFill="1" applyBorder="1"/>
    <xf numFmtId="0" fontId="70" fillId="0" borderId="0" xfId="0" applyFont="1" applyFill="1" applyBorder="1" applyAlignment="1" applyProtection="1">
      <alignment horizontal="left" vertical="center" wrapText="1"/>
    </xf>
    <xf numFmtId="3" fontId="72" fillId="0" borderId="0" xfId="0" applyNumberFormat="1" applyFont="1" applyFill="1" applyBorder="1" applyAlignment="1" applyProtection="1">
      <alignment horizontal="center" vertical="center" wrapText="1"/>
    </xf>
    <xf numFmtId="4" fontId="72" fillId="0" borderId="0" xfId="0" applyNumberFormat="1" applyFont="1" applyFill="1" applyBorder="1" applyAlignment="1" applyProtection="1">
      <alignment horizontal="center" vertical="center" wrapText="1"/>
    </xf>
    <xf numFmtId="0" fontId="72" fillId="0" borderId="88" xfId="0" applyFont="1" applyFill="1" applyBorder="1"/>
    <xf numFmtId="0" fontId="70" fillId="12" borderId="89" xfId="0" applyFont="1" applyFill="1" applyBorder="1" applyAlignment="1" applyProtection="1">
      <alignment horizontal="left" vertical="center" wrapText="1"/>
    </xf>
    <xf numFmtId="3" fontId="72" fillId="12" borderId="89" xfId="0" applyNumberFormat="1" applyFont="1" applyFill="1" applyBorder="1" applyAlignment="1" applyProtection="1">
      <alignment horizontal="center" vertical="center" wrapText="1"/>
    </xf>
    <xf numFmtId="164" fontId="72" fillId="12" borderId="90" xfId="16" applyFont="1" applyFill="1" applyBorder="1" applyAlignment="1" applyProtection="1">
      <alignment horizontal="center" vertical="center" wrapText="1"/>
    </xf>
    <xf numFmtId="3" fontId="72" fillId="12" borderId="50" xfId="0" applyNumberFormat="1" applyFont="1" applyFill="1" applyBorder="1" applyAlignment="1" applyProtection="1">
      <alignment horizontal="center" vertical="center" wrapText="1"/>
    </xf>
    <xf numFmtId="3" fontId="72" fillId="0" borderId="89" xfId="0" applyNumberFormat="1" applyFont="1" applyFill="1" applyBorder="1" applyAlignment="1" applyProtection="1">
      <alignment horizontal="center" vertical="center" wrapText="1"/>
    </xf>
    <xf numFmtId="164" fontId="27" fillId="0" borderId="0" xfId="0" applyNumberFormat="1" applyFont="1"/>
    <xf numFmtId="0" fontId="70" fillId="12" borderId="0" xfId="0" applyFont="1" applyFill="1" applyBorder="1" applyAlignment="1" applyProtection="1">
      <alignment horizontal="left" vertical="center" wrapText="1"/>
    </xf>
    <xf numFmtId="3" fontId="72" fillId="12" borderId="0" xfId="0" applyNumberFormat="1" applyFont="1" applyFill="1" applyBorder="1" applyAlignment="1" applyProtection="1">
      <alignment horizontal="center" vertical="center" wrapText="1"/>
    </xf>
    <xf numFmtId="164" fontId="72" fillId="12" borderId="0" xfId="16" applyFont="1" applyFill="1" applyBorder="1" applyAlignment="1" applyProtection="1">
      <alignment horizontal="center" vertical="center" wrapText="1"/>
    </xf>
    <xf numFmtId="0" fontId="27" fillId="16" borderId="0" xfId="0" applyFont="1" applyFill="1"/>
    <xf numFmtId="0" fontId="71" fillId="11" borderId="0" xfId="0" applyFont="1" applyFill="1" applyAlignment="1"/>
    <xf numFmtId="0" fontId="70" fillId="11" borderId="0" xfId="0" applyFont="1" applyFill="1"/>
    <xf numFmtId="0" fontId="70" fillId="11" borderId="0" xfId="0" applyFont="1" applyFill="1" applyAlignment="1">
      <alignment horizontal="center"/>
    </xf>
    <xf numFmtId="14" fontId="70" fillId="11" borderId="0" xfId="0" applyNumberFormat="1" applyFont="1" applyFill="1"/>
    <xf numFmtId="0" fontId="70" fillId="11" borderId="0" xfId="12" applyNumberFormat="1" applyFont="1" applyFill="1" applyBorder="1" applyAlignment="1" applyProtection="1"/>
    <xf numFmtId="0" fontId="17" fillId="11" borderId="0" xfId="12" applyNumberFormat="1" applyFill="1" applyBorder="1" applyAlignment="1" applyProtection="1"/>
    <xf numFmtId="0" fontId="77" fillId="0" borderId="0" xfId="0" applyFont="1"/>
    <xf numFmtId="3" fontId="77" fillId="0" borderId="0" xfId="0" applyNumberFormat="1" applyFont="1"/>
    <xf numFmtId="0" fontId="38" fillId="0" borderId="0" xfId="0" applyFont="1"/>
    <xf numFmtId="0" fontId="72" fillId="0" borderId="0" xfId="0" applyFont="1" applyAlignment="1">
      <alignment horizontal="center"/>
    </xf>
    <xf numFmtId="0" fontId="72" fillId="0" borderId="0" xfId="0" applyFont="1"/>
    <xf numFmtId="171" fontId="38" fillId="0" borderId="0" xfId="0" applyNumberFormat="1" applyFont="1"/>
    <xf numFmtId="0" fontId="27" fillId="0" borderId="0" xfId="0" applyFont="1" applyFill="1" applyAlignment="1">
      <alignment horizontal="center"/>
    </xf>
    <xf numFmtId="0" fontId="72" fillId="0" borderId="0" xfId="0" applyFont="1" applyFill="1" applyAlignment="1">
      <alignment horizontal="center"/>
    </xf>
    <xf numFmtId="0" fontId="27" fillId="17" borderId="0" xfId="0" applyFont="1" applyFill="1"/>
    <xf numFmtId="0" fontId="25" fillId="0" borderId="0" xfId="0" applyFont="1" applyBorder="1" applyAlignment="1"/>
    <xf numFmtId="4" fontId="38" fillId="0" borderId="0" xfId="0" applyNumberFormat="1" applyFont="1"/>
    <xf numFmtId="3" fontId="38" fillId="0" borderId="0" xfId="0" applyNumberFormat="1" applyFont="1"/>
    <xf numFmtId="3" fontId="27" fillId="0" borderId="0" xfId="0" applyNumberFormat="1" applyFont="1"/>
    <xf numFmtId="2" fontId="27" fillId="0" borderId="0" xfId="0" applyNumberFormat="1" applyFont="1"/>
    <xf numFmtId="3" fontId="72" fillId="0" borderId="0" xfId="0" applyNumberFormat="1" applyFont="1"/>
    <xf numFmtId="2" fontId="72" fillId="0" borderId="0" xfId="0" applyNumberFormat="1" applyFont="1"/>
    <xf numFmtId="3" fontId="27" fillId="16" borderId="0" xfId="0" applyNumberFormat="1" applyFont="1" applyFill="1"/>
    <xf numFmtId="2" fontId="27" fillId="16" borderId="0" xfId="0" applyNumberFormat="1" applyFont="1" applyFill="1"/>
    <xf numFmtId="0" fontId="0" fillId="9" borderId="0" xfId="0" applyFont="1" applyFill="1" applyAlignment="1" applyProtection="1">
      <alignment vertical="top" wrapText="1"/>
    </xf>
    <xf numFmtId="0" fontId="66" fillId="0" borderId="0" xfId="0" applyFont="1"/>
    <xf numFmtId="3" fontId="47" fillId="9" borderId="27" xfId="0" applyNumberFormat="1" applyFont="1" applyFill="1" applyBorder="1" applyAlignment="1" applyProtection="1">
      <alignment horizontal="left" vertical="center" wrapText="1"/>
    </xf>
    <xf numFmtId="166" fontId="66" fillId="0" borderId="0" xfId="0" applyNumberFormat="1" applyFont="1"/>
    <xf numFmtId="166" fontId="0" fillId="0" borderId="0" xfId="0" applyNumberFormat="1"/>
    <xf numFmtId="0" fontId="0" fillId="0" borderId="0" xfId="0" applyAlignment="1">
      <alignment wrapText="1"/>
    </xf>
    <xf numFmtId="172" fontId="87" fillId="0" borderId="0" xfId="13" applyNumberFormat="1" applyFill="1"/>
    <xf numFmtId="172" fontId="0" fillId="0" borderId="0" xfId="13" applyNumberFormat="1" applyFont="1" applyAlignment="1">
      <alignment wrapText="1"/>
    </xf>
    <xf numFmtId="172" fontId="87" fillId="23" borderId="0" xfId="13" applyNumberFormat="1" applyFill="1"/>
    <xf numFmtId="172" fontId="0" fillId="0" borderId="0" xfId="13" applyNumberFormat="1" applyFont="1"/>
    <xf numFmtId="3" fontId="88" fillId="0" borderId="0" xfId="0" applyNumberFormat="1" applyFont="1"/>
    <xf numFmtId="172" fontId="87" fillId="0" borderId="0" xfId="13" applyNumberFormat="1" applyAlignment="1">
      <alignment vertical="center"/>
    </xf>
    <xf numFmtId="172" fontId="87" fillId="0" borderId="0" xfId="13" applyNumberFormat="1"/>
    <xf numFmtId="166" fontId="87" fillId="0" borderId="0" xfId="13"/>
    <xf numFmtId="0" fontId="89" fillId="0" borderId="0" xfId="17"/>
    <xf numFmtId="0" fontId="17" fillId="9" borderId="3" xfId="12" applyFill="1" applyBorder="1" applyAlignment="1" applyProtection="1">
      <alignment horizontal="left" vertical="center" indent="1"/>
      <protection locked="0"/>
    </xf>
    <xf numFmtId="0" fontId="90" fillId="0" borderId="0" xfId="0" applyFont="1" applyAlignment="1" applyProtection="1">
      <alignment vertical="center"/>
    </xf>
    <xf numFmtId="0" fontId="91" fillId="0" borderId="0" xfId="0" applyFont="1" applyAlignment="1" applyProtection="1">
      <alignment vertical="center"/>
    </xf>
    <xf numFmtId="3" fontId="44" fillId="13" borderId="0" xfId="0" applyNumberFormat="1" applyFont="1" applyFill="1" applyBorder="1" applyAlignment="1" applyProtection="1">
      <alignment horizontal="right" vertical="center" wrapText="1"/>
    </xf>
    <xf numFmtId="0" fontId="41" fillId="12" borderId="17" xfId="0" applyFont="1" applyFill="1" applyBorder="1" applyAlignment="1" applyProtection="1">
      <alignment horizontal="left" vertical="center" wrapText="1"/>
    </xf>
    <xf numFmtId="0" fontId="49" fillId="14" borderId="0" xfId="0" applyFont="1" applyFill="1" applyBorder="1" applyAlignment="1" applyProtection="1">
      <alignment horizontal="right" vertical="center" wrapText="1"/>
    </xf>
    <xf numFmtId="0" fontId="49" fillId="14" borderId="36" xfId="0" applyFont="1" applyFill="1" applyBorder="1" applyAlignment="1" applyProtection="1">
      <alignment horizontal="right" vertical="center" wrapText="1"/>
    </xf>
    <xf numFmtId="0" fontId="49" fillId="12" borderId="0" xfId="0" applyFont="1" applyFill="1" applyBorder="1" applyAlignment="1" applyProtection="1">
      <alignment horizontal="center" vertical="center" wrapText="1"/>
    </xf>
    <xf numFmtId="0" fontId="49" fillId="12" borderId="0" xfId="0" applyFont="1" applyFill="1" applyBorder="1" applyAlignment="1" applyProtection="1">
      <alignment horizontal="center" vertical="center" textRotation="90" wrapText="1"/>
    </xf>
    <xf numFmtId="0" fontId="27" fillId="0" borderId="0" xfId="0" applyFont="1" applyBorder="1" applyAlignment="1">
      <alignment horizontal="center" vertical="center" wrapText="1"/>
    </xf>
    <xf numFmtId="0" fontId="0" fillId="0" borderId="0" xfId="0" applyFont="1" applyAlignment="1" applyProtection="1">
      <alignment wrapText="1"/>
    </xf>
    <xf numFmtId="0" fontId="0" fillId="8" borderId="0" xfId="0" applyFont="1" applyFill="1" applyAlignment="1" applyProtection="1">
      <alignment wrapText="1"/>
    </xf>
    <xf numFmtId="0" fontId="0" fillId="7" borderId="0" xfId="0" applyFont="1" applyFill="1" applyAlignment="1" applyProtection="1">
      <alignment wrapText="1"/>
    </xf>
    <xf numFmtId="0" fontId="0" fillId="0" borderId="91" xfId="0" applyFont="1" applyBorder="1" applyAlignment="1" applyProtection="1">
      <alignment wrapText="1"/>
    </xf>
    <xf numFmtId="0" fontId="78" fillId="0" borderId="0" xfId="0" applyFont="1" applyAlignment="1" applyProtection="1">
      <alignment wrapText="1"/>
    </xf>
    <xf numFmtId="0" fontId="0" fillId="0" borderId="0" xfId="0" applyAlignment="1" applyProtection="1">
      <alignment wrapText="1"/>
    </xf>
    <xf numFmtId="0" fontId="0" fillId="18" borderId="91" xfId="0" applyFont="1" applyFill="1" applyBorder="1" applyAlignment="1" applyProtection="1">
      <alignment wrapText="1"/>
    </xf>
    <xf numFmtId="0" fontId="0" fillId="18" borderId="80" xfId="0" applyFont="1" applyFill="1" applyBorder="1" applyAlignment="1" applyProtection="1">
      <alignment wrapText="1"/>
    </xf>
    <xf numFmtId="0" fontId="0" fillId="10" borderId="91" xfId="0" applyFont="1" applyFill="1" applyBorder="1" applyAlignment="1" applyProtection="1">
      <alignment wrapText="1"/>
    </xf>
    <xf numFmtId="0" fontId="0" fillId="0" borderId="80" xfId="0" applyFont="1" applyBorder="1" applyAlignment="1" applyProtection="1">
      <alignment wrapText="1"/>
    </xf>
    <xf numFmtId="0" fontId="12" fillId="0" borderId="91" xfId="0" applyFont="1" applyBorder="1" applyAlignment="1" applyProtection="1">
      <alignment wrapText="1"/>
    </xf>
    <xf numFmtId="0" fontId="20" fillId="0" borderId="91" xfId="0" applyFont="1" applyBorder="1" applyAlignment="1" applyProtection="1">
      <alignment wrapText="1"/>
    </xf>
    <xf numFmtId="0" fontId="20" fillId="0" borderId="80" xfId="0" applyFont="1" applyBorder="1" applyAlignment="1" applyProtection="1">
      <alignment wrapText="1"/>
    </xf>
    <xf numFmtId="0" fontId="12" fillId="0" borderId="80" xfId="0" applyFont="1" applyBorder="1" applyAlignment="1" applyProtection="1">
      <alignment wrapText="1"/>
    </xf>
    <xf numFmtId="0" fontId="0" fillId="0" borderId="80" xfId="0" applyFont="1" applyBorder="1" applyAlignment="1" applyProtection="1">
      <alignment vertical="top" wrapText="1"/>
    </xf>
    <xf numFmtId="0" fontId="66" fillId="0" borderId="0" xfId="0" applyFont="1" applyAlignment="1" applyProtection="1">
      <alignment wrapText="1"/>
    </xf>
    <xf numFmtId="0" fontId="16" fillId="0" borderId="91" xfId="0" applyFont="1" applyBorder="1" applyAlignment="1" applyProtection="1">
      <alignment wrapText="1"/>
    </xf>
    <xf numFmtId="0" fontId="16" fillId="10" borderId="91" xfId="0" applyFont="1" applyFill="1" applyBorder="1" applyAlignment="1" applyProtection="1">
      <alignment wrapText="1"/>
    </xf>
    <xf numFmtId="0" fontId="0" fillId="0" borderId="91" xfId="0" applyBorder="1" applyAlignment="1" applyProtection="1">
      <alignment wrapText="1"/>
    </xf>
    <xf numFmtId="0" fontId="0" fillId="0" borderId="80" xfId="0" applyBorder="1" applyAlignment="1" applyProtection="1">
      <alignment wrapText="1"/>
    </xf>
    <xf numFmtId="0" fontId="9" fillId="0" borderId="91" xfId="0" applyFont="1" applyBorder="1" applyAlignment="1" applyProtection="1">
      <alignment wrapText="1"/>
    </xf>
    <xf numFmtId="0" fontId="14" fillId="0" borderId="91" xfId="0" applyFont="1" applyBorder="1" applyAlignment="1" applyProtection="1">
      <alignment wrapText="1"/>
    </xf>
    <xf numFmtId="0" fontId="66" fillId="0" borderId="0" xfId="0" applyFont="1" applyProtection="1"/>
    <xf numFmtId="0" fontId="0" fillId="0" borderId="0" xfId="0" applyFont="1" applyProtection="1"/>
    <xf numFmtId="0" fontId="66" fillId="0" borderId="0" xfId="0" applyFont="1" applyAlignment="1" applyProtection="1">
      <alignment horizontal="left"/>
    </xf>
    <xf numFmtId="0" fontId="0" fillId="15" borderId="0" xfId="0" applyFont="1" applyFill="1" applyAlignment="1" applyProtection="1">
      <alignment wrapText="1"/>
    </xf>
    <xf numFmtId="0" fontId="22" fillId="12" borderId="3" xfId="0" applyFont="1" applyFill="1" applyBorder="1" applyAlignment="1" applyProtection="1">
      <alignment horizontal="left" vertical="center" indent="1"/>
    </xf>
    <xf numFmtId="0" fontId="64" fillId="19" borderId="91" xfId="0" applyFont="1" applyFill="1" applyBorder="1" applyAlignment="1" applyProtection="1">
      <alignment wrapText="1"/>
    </xf>
    <xf numFmtId="0" fontId="0" fillId="15" borderId="91" xfId="0" applyFont="1" applyFill="1" applyBorder="1" applyAlignment="1" applyProtection="1">
      <alignment wrapText="1"/>
    </xf>
    <xf numFmtId="0" fontId="66" fillId="20" borderId="0" xfId="0" applyFont="1" applyFill="1" applyAlignment="1" applyProtection="1">
      <alignment wrapText="1"/>
    </xf>
    <xf numFmtId="0" fontId="14" fillId="12" borderId="3" xfId="0" applyFont="1" applyFill="1" applyBorder="1" applyAlignment="1" applyProtection="1">
      <alignment horizontal="left" vertical="center" indent="1"/>
    </xf>
    <xf numFmtId="0" fontId="14" fillId="12" borderId="3" xfId="0" applyFont="1" applyFill="1" applyBorder="1" applyAlignment="1" applyProtection="1">
      <alignment horizontal="left" vertical="center" wrapText="1"/>
    </xf>
    <xf numFmtId="0" fontId="0" fillId="21" borderId="91" xfId="0" applyFont="1" applyFill="1" applyBorder="1" applyAlignment="1" applyProtection="1">
      <alignment wrapText="1"/>
    </xf>
    <xf numFmtId="0" fontId="66" fillId="22" borderId="92" xfId="0" applyFont="1" applyFill="1" applyBorder="1" applyAlignment="1" applyProtection="1">
      <alignment wrapText="1"/>
    </xf>
    <xf numFmtId="0" fontId="16" fillId="9" borderId="8" xfId="0" applyFont="1" applyFill="1" applyBorder="1" applyAlignment="1" applyProtection="1">
      <alignment horizontal="left" vertical="center" wrapText="1" indent="1"/>
    </xf>
    <xf numFmtId="0" fontId="0" fillId="9" borderId="93" xfId="0" applyFont="1" applyFill="1" applyBorder="1" applyAlignment="1" applyProtection="1">
      <alignment wrapText="1"/>
    </xf>
    <xf numFmtId="0" fontId="81" fillId="9" borderId="93" xfId="0" applyFont="1" applyFill="1" applyBorder="1" applyAlignment="1" applyProtection="1">
      <alignment wrapText="1"/>
    </xf>
    <xf numFmtId="0" fontId="0" fillId="19" borderId="91" xfId="0" applyFont="1" applyFill="1" applyBorder="1" applyAlignment="1" applyProtection="1">
      <alignment wrapText="1"/>
    </xf>
    <xf numFmtId="0" fontId="66" fillId="22" borderId="91" xfId="0" applyFont="1" applyFill="1" applyBorder="1" applyAlignment="1" applyProtection="1">
      <alignment wrapText="1"/>
    </xf>
    <xf numFmtId="0" fontId="16" fillId="9" borderId="8" xfId="0" applyFont="1" applyFill="1" applyBorder="1" applyAlignment="1" applyProtection="1">
      <alignment horizontal="left" vertical="center" indent="1"/>
    </xf>
    <xf numFmtId="0" fontId="0" fillId="9" borderId="91" xfId="0" applyFont="1" applyFill="1" applyBorder="1" applyAlignment="1" applyProtection="1">
      <alignment wrapText="1"/>
    </xf>
    <xf numFmtId="0" fontId="16" fillId="9" borderId="2" xfId="0" applyFont="1" applyFill="1" applyBorder="1" applyAlignment="1" applyProtection="1">
      <alignment horizontal="left" vertical="center" wrapText="1" indent="1"/>
    </xf>
    <xf numFmtId="0" fontId="66" fillId="20" borderId="91" xfId="0" applyFont="1" applyFill="1" applyBorder="1" applyAlignment="1" applyProtection="1">
      <alignment wrapText="1"/>
    </xf>
    <xf numFmtId="0" fontId="16" fillId="9" borderId="6" xfId="0" applyFont="1" applyFill="1" applyBorder="1" applyAlignment="1" applyProtection="1">
      <alignment horizontal="left" vertical="center" wrapText="1" indent="1"/>
    </xf>
    <xf numFmtId="0" fontId="16" fillId="9" borderId="6" xfId="0" applyFont="1" applyFill="1" applyBorder="1" applyAlignment="1" applyProtection="1">
      <alignment horizontal="left" vertical="center" indent="1"/>
    </xf>
    <xf numFmtId="0" fontId="16" fillId="9" borderId="0" xfId="0" applyFont="1" applyFill="1" applyBorder="1" applyAlignment="1" applyProtection="1">
      <alignment horizontal="left" vertical="center" wrapText="1" indent="1"/>
    </xf>
    <xf numFmtId="0" fontId="16" fillId="9" borderId="0" xfId="0" applyFont="1" applyFill="1" applyAlignment="1" applyProtection="1">
      <alignment horizontal="left" vertical="center" wrapText="1" indent="1"/>
    </xf>
    <xf numFmtId="0" fontId="0" fillId="0" borderId="94" xfId="0" applyFont="1" applyBorder="1" applyProtection="1"/>
    <xf numFmtId="0" fontId="81" fillId="9" borderId="91" xfId="0" applyFont="1" applyFill="1" applyBorder="1" applyAlignment="1" applyProtection="1">
      <alignment wrapText="1"/>
    </xf>
    <xf numFmtId="0" fontId="66" fillId="7" borderId="0" xfId="0" applyFont="1" applyFill="1" applyAlignment="1" applyProtection="1">
      <alignment wrapText="1"/>
    </xf>
    <xf numFmtId="0" fontId="1" fillId="0" borderId="91" xfId="0" applyFont="1" applyBorder="1" applyAlignment="1" applyProtection="1">
      <alignment wrapText="1"/>
    </xf>
    <xf numFmtId="0" fontId="1" fillId="0" borderId="80" xfId="0" applyFont="1" applyBorder="1" applyAlignment="1" applyProtection="1">
      <alignment wrapText="1"/>
    </xf>
    <xf numFmtId="0" fontId="82" fillId="0" borderId="91" xfId="0" applyFont="1" applyBorder="1" applyAlignment="1" applyProtection="1">
      <alignment wrapText="1"/>
    </xf>
    <xf numFmtId="0" fontId="78" fillId="0" borderId="80" xfId="0" applyFont="1" applyBorder="1" applyAlignment="1" applyProtection="1">
      <alignment wrapText="1"/>
    </xf>
    <xf numFmtId="0" fontId="68" fillId="9" borderId="58" xfId="0" applyFont="1" applyFill="1" applyBorder="1" applyAlignment="1" applyProtection="1">
      <alignment horizontal="left" vertical="center"/>
    </xf>
    <xf numFmtId="0" fontId="12" fillId="9" borderId="58" xfId="0" applyFont="1" applyFill="1" applyBorder="1" applyAlignment="1" applyProtection="1">
      <alignment vertical="center" wrapText="1"/>
    </xf>
    <xf numFmtId="0" fontId="68" fillId="9" borderId="0" xfId="0" applyFont="1" applyFill="1" applyBorder="1" applyAlignment="1" applyProtection="1">
      <alignment horizontal="left" vertical="center"/>
    </xf>
    <xf numFmtId="0" fontId="12" fillId="9" borderId="0" xfId="0" applyFont="1" applyFill="1" applyBorder="1" applyAlignment="1" applyProtection="1">
      <alignment vertical="center" wrapText="1"/>
    </xf>
    <xf numFmtId="0" fontId="68" fillId="9" borderId="59" xfId="0" applyFont="1" applyFill="1" applyBorder="1" applyAlignment="1" applyProtection="1">
      <alignment horizontal="right" vertical="center"/>
    </xf>
    <xf numFmtId="0" fontId="12" fillId="9" borderId="59" xfId="0" applyFont="1" applyFill="1" applyBorder="1" applyAlignment="1" applyProtection="1">
      <alignment vertical="center" wrapText="1"/>
    </xf>
    <xf numFmtId="0" fontId="68" fillId="9" borderId="60" xfId="0" applyFont="1" applyFill="1" applyBorder="1" applyAlignment="1" applyProtection="1">
      <alignment horizontal="right" vertical="center"/>
    </xf>
    <xf numFmtId="0" fontId="12" fillId="9" borderId="60" xfId="0" applyFont="1" applyFill="1" applyBorder="1" applyAlignment="1" applyProtection="1">
      <alignment vertical="center" wrapText="1"/>
    </xf>
    <xf numFmtId="0" fontId="27" fillId="9" borderId="60" xfId="0" applyFont="1" applyFill="1" applyBorder="1" applyAlignment="1" applyProtection="1">
      <alignment vertical="center" wrapText="1"/>
    </xf>
    <xf numFmtId="0" fontId="68" fillId="9" borderId="60" xfId="0" applyFont="1" applyFill="1" applyBorder="1" applyAlignment="1" applyProtection="1">
      <alignment horizontal="right" vertical="center" wrapText="1"/>
    </xf>
    <xf numFmtId="0" fontId="12" fillId="10" borderId="60" xfId="0" applyFont="1" applyFill="1" applyBorder="1" applyAlignment="1" applyProtection="1">
      <alignment vertical="center" wrapText="1"/>
    </xf>
    <xf numFmtId="0" fontId="83" fillId="9" borderId="60" xfId="0" applyFont="1" applyFill="1" applyBorder="1" applyAlignment="1" applyProtection="1">
      <alignment vertical="center" wrapText="1"/>
    </xf>
    <xf numFmtId="0" fontId="84" fillId="9" borderId="60" xfId="0" applyFont="1" applyFill="1" applyBorder="1" applyAlignment="1" applyProtection="1">
      <alignment vertical="center" wrapText="1"/>
    </xf>
    <xf numFmtId="0" fontId="68" fillId="9" borderId="61" xfId="0" applyFont="1" applyFill="1" applyBorder="1" applyAlignment="1" applyProtection="1">
      <alignment horizontal="right" vertical="center" wrapText="1"/>
    </xf>
    <xf numFmtId="0" fontId="12" fillId="9" borderId="61" xfId="0" applyFont="1" applyFill="1" applyBorder="1" applyAlignment="1" applyProtection="1">
      <alignment vertical="center" wrapText="1"/>
    </xf>
    <xf numFmtId="0" fontId="0" fillId="0" borderId="0" xfId="0" applyFont="1" applyFill="1" applyAlignment="1" applyProtection="1">
      <alignment wrapText="1"/>
    </xf>
    <xf numFmtId="0" fontId="85" fillId="0" borderId="0" xfId="0" applyFont="1" applyAlignment="1" applyProtection="1">
      <alignment horizontal="left" vertical="center" indent="1"/>
    </xf>
    <xf numFmtId="0" fontId="27" fillId="10" borderId="0" xfId="0" applyFont="1" applyFill="1" applyAlignment="1" applyProtection="1">
      <alignment horizontal="left"/>
    </xf>
    <xf numFmtId="49" fontId="86" fillId="0" borderId="0" xfId="0" applyNumberFormat="1" applyFont="1" applyAlignment="1" applyProtection="1">
      <alignment vertical="top"/>
    </xf>
    <xf numFmtId="0" fontId="27" fillId="0" borderId="0" xfId="0" applyFont="1" applyAlignment="1" applyProtection="1">
      <alignment horizontal="left"/>
    </xf>
    <xf numFmtId="0" fontId="38" fillId="0" borderId="0" xfId="0" applyFont="1" applyProtection="1"/>
    <xf numFmtId="0" fontId="0" fillId="0" borderId="0" xfId="0" applyFont="1" applyBorder="1" applyAlignment="1" applyProtection="1">
      <alignment wrapText="1"/>
    </xf>
    <xf numFmtId="0" fontId="27" fillId="0" borderId="0" xfId="0" applyFont="1" applyProtection="1"/>
    <xf numFmtId="164" fontId="14" fillId="9" borderId="57" xfId="0" applyNumberFormat="1" applyFont="1" applyFill="1" applyBorder="1" applyAlignment="1">
      <alignment horizontal="center" vertical="center"/>
    </xf>
    <xf numFmtId="164" fontId="22" fillId="12" borderId="57" xfId="0" applyNumberFormat="1" applyFont="1" applyFill="1" applyBorder="1" applyAlignment="1">
      <alignment horizontal="center" vertical="center"/>
    </xf>
    <xf numFmtId="0" fontId="38" fillId="0" borderId="3" xfId="0" applyFont="1" applyBorder="1" applyAlignment="1" applyProtection="1">
      <alignment horizontal="left" vertical="center" indent="1"/>
    </xf>
    <xf numFmtId="165" fontId="21" fillId="9" borderId="7" xfId="0" applyNumberFormat="1" applyFont="1" applyFill="1" applyBorder="1" applyAlignment="1" applyProtection="1">
      <alignment horizontal="center" vertical="center"/>
    </xf>
    <xf numFmtId="165" fontId="0" fillId="0" borderId="0" xfId="0" applyNumberFormat="1" applyAlignment="1" applyProtection="1">
      <alignment horizontal="left" vertical="center" indent="1"/>
    </xf>
    <xf numFmtId="165" fontId="21" fillId="9" borderId="3" xfId="0" applyNumberFormat="1" applyFont="1" applyFill="1" applyBorder="1" applyAlignment="1" applyProtection="1">
      <alignment horizontal="center" vertical="center"/>
    </xf>
    <xf numFmtId="3" fontId="74" fillId="12" borderId="30" xfId="0" applyNumberFormat="1" applyFont="1" applyFill="1" applyBorder="1" applyAlignment="1" applyProtection="1">
      <alignment horizontal="center" vertical="center" wrapText="1"/>
    </xf>
    <xf numFmtId="0" fontId="92" fillId="24" borderId="113" xfId="0" applyFont="1" applyFill="1" applyBorder="1" applyAlignment="1" applyProtection="1">
      <alignment horizontal="left" vertical="center"/>
      <protection locked="0"/>
    </xf>
    <xf numFmtId="0" fontId="92" fillId="24" borderId="114" xfId="0" applyFont="1" applyFill="1" applyBorder="1" applyAlignment="1" applyProtection="1">
      <alignment horizontal="left" vertical="center"/>
      <protection locked="0"/>
    </xf>
    <xf numFmtId="0" fontId="13" fillId="9" borderId="0" xfId="0" applyFont="1" applyFill="1" applyBorder="1" applyAlignment="1" applyProtection="1"/>
    <xf numFmtId="0" fontId="15" fillId="9" borderId="0" xfId="0" applyFont="1" applyFill="1" applyBorder="1" applyAlignment="1" applyProtection="1">
      <alignment horizontal="left" vertical="center"/>
    </xf>
    <xf numFmtId="0" fontId="16" fillId="9" borderId="0" xfId="0" applyFont="1" applyFill="1" applyBorder="1" applyAlignment="1" applyProtection="1">
      <alignment horizontal="left" vertical="top" wrapText="1"/>
    </xf>
    <xf numFmtId="0" fontId="18" fillId="9" borderId="0" xfId="12" applyNumberFormat="1" applyFont="1" applyFill="1" applyBorder="1" applyAlignment="1" applyProtection="1">
      <alignment horizontal="left" vertical="top" wrapText="1"/>
    </xf>
    <xf numFmtId="0" fontId="19" fillId="0" borderId="0" xfId="0" applyFont="1" applyFill="1" applyBorder="1"/>
    <xf numFmtId="0" fontId="18" fillId="9" borderId="0" xfId="0" applyFont="1" applyFill="1" applyBorder="1" applyAlignment="1" applyProtection="1">
      <alignment horizontal="right" vertical="top" wrapText="1"/>
    </xf>
    <xf numFmtId="0" fontId="18" fillId="9" borderId="0" xfId="12" applyNumberFormat="1" applyFont="1" applyFill="1" applyBorder="1" applyAlignment="1" applyProtection="1">
      <alignment horizontal="left" vertical="center" wrapText="1"/>
    </xf>
    <xf numFmtId="0" fontId="21" fillId="9" borderId="3" xfId="0" applyFont="1" applyFill="1" applyBorder="1" applyAlignment="1" applyProtection="1">
      <alignment horizontal="left" vertical="center"/>
    </xf>
    <xf numFmtId="0" fontId="16" fillId="9" borderId="2" xfId="0" applyFont="1" applyFill="1" applyBorder="1" applyAlignment="1" applyProtection="1">
      <alignment horizontal="left" vertical="center"/>
    </xf>
    <xf numFmtId="0" fontId="22" fillId="17"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wrapText="1"/>
    </xf>
    <xf numFmtId="0" fontId="14" fillId="9"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9"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9" borderId="0" xfId="0" applyFont="1" applyFill="1" applyBorder="1" applyAlignment="1">
      <alignment horizontal="left" vertical="center"/>
    </xf>
    <xf numFmtId="0" fontId="13" fillId="9" borderId="0" xfId="0" applyFont="1" applyFill="1" applyBorder="1" applyAlignment="1">
      <alignment horizontal="left" vertical="center"/>
    </xf>
    <xf numFmtId="0" fontId="13" fillId="9" borderId="0" xfId="0" applyFont="1" applyFill="1" applyBorder="1" applyAlignment="1" applyProtection="1">
      <alignment horizontal="left" vertical="center"/>
    </xf>
    <xf numFmtId="0" fontId="16" fillId="15" borderId="0" xfId="0" applyFont="1" applyFill="1" applyBorder="1" applyAlignment="1" applyProtection="1">
      <alignment horizontal="left" vertical="center" wrapText="1"/>
    </xf>
    <xf numFmtId="0" fontId="12" fillId="9" borderId="9" xfId="0" applyFont="1" applyFill="1" applyBorder="1" applyAlignment="1" applyProtection="1">
      <alignment horizontal="left" vertical="center"/>
    </xf>
    <xf numFmtId="0" fontId="16" fillId="9" borderId="9"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9" xfId="0" applyFont="1" applyFill="1" applyBorder="1" applyAlignment="1">
      <alignment horizontal="center" vertical="center"/>
    </xf>
    <xf numFmtId="0" fontId="16" fillId="9" borderId="0" xfId="0" applyFont="1" applyFill="1" applyBorder="1" applyAlignment="1">
      <alignment horizontal="center" vertical="center"/>
    </xf>
    <xf numFmtId="0" fontId="16" fillId="9" borderId="7" xfId="0" applyFont="1" applyFill="1" applyBorder="1" applyAlignment="1">
      <alignment horizontal="center" vertical="center"/>
    </xf>
    <xf numFmtId="0" fontId="16" fillId="9" borderId="8" xfId="0" applyFont="1" applyFill="1" applyBorder="1" applyAlignment="1">
      <alignment horizontal="center" vertical="center"/>
    </xf>
    <xf numFmtId="0" fontId="16" fillId="9" borderId="8" xfId="0" applyFont="1" applyFill="1" applyBorder="1" applyAlignment="1">
      <alignment horizontal="center" vertical="center" wrapText="1"/>
    </xf>
    <xf numFmtId="0" fontId="27" fillId="9" borderId="0" xfId="0" applyFont="1" applyFill="1" applyBorder="1" applyAlignment="1" applyProtection="1">
      <alignment horizontal="right"/>
    </xf>
    <xf numFmtId="0" fontId="13" fillId="9" borderId="0" xfId="0" applyFont="1" applyFill="1" applyBorder="1" applyAlignment="1">
      <alignment horizontal="left" vertical="top"/>
    </xf>
    <xf numFmtId="0" fontId="14" fillId="9" borderId="95" xfId="0" applyFont="1" applyFill="1" applyBorder="1" applyAlignment="1">
      <alignment horizontal="left" vertical="center" indent="1"/>
    </xf>
    <xf numFmtId="164" fontId="14" fillId="9" borderId="96" xfId="0" applyNumberFormat="1" applyFont="1" applyFill="1" applyBorder="1" applyAlignment="1">
      <alignment horizontal="center" vertical="center"/>
    </xf>
    <xf numFmtId="1" fontId="14" fillId="9" borderId="96" xfId="0" applyNumberFormat="1" applyFont="1" applyFill="1" applyBorder="1" applyAlignment="1">
      <alignment horizontal="center" vertical="center"/>
    </xf>
    <xf numFmtId="1" fontId="14" fillId="9" borderId="87" xfId="0" applyNumberFormat="1" applyFont="1" applyFill="1" applyBorder="1" applyAlignment="1">
      <alignment horizontal="center" vertical="center"/>
    </xf>
    <xf numFmtId="0" fontId="16" fillId="9" borderId="0" xfId="0" applyFont="1" applyFill="1" applyBorder="1" applyAlignment="1">
      <alignment horizontal="left" vertical="center"/>
    </xf>
    <xf numFmtId="0" fontId="12" fillId="9" borderId="8" xfId="0" applyFont="1" applyFill="1" applyBorder="1" applyAlignment="1">
      <alignment horizontal="left" vertical="center"/>
    </xf>
    <xf numFmtId="164" fontId="22" fillId="11" borderId="97" xfId="0" applyNumberFormat="1" applyFont="1" applyFill="1" applyBorder="1" applyAlignment="1">
      <alignment horizontal="center" vertical="center"/>
    </xf>
    <xf numFmtId="0" fontId="22" fillId="12" borderId="3" xfId="0" applyFont="1" applyFill="1" applyBorder="1" applyAlignment="1">
      <alignment horizontal="left" vertical="center" indent="1"/>
    </xf>
    <xf numFmtId="0" fontId="22" fillId="11" borderId="0" xfId="0" applyFont="1" applyFill="1" applyBorder="1" applyAlignment="1">
      <alignment horizontal="left" vertical="center" indent="1"/>
    </xf>
    <xf numFmtId="164" fontId="22" fillId="11" borderId="0" xfId="0" applyNumberFormat="1" applyFont="1" applyFill="1" applyBorder="1" applyAlignment="1">
      <alignment horizontal="center" vertical="center"/>
    </xf>
    <xf numFmtId="1" fontId="22" fillId="11" borderId="0" xfId="0" applyNumberFormat="1" applyFont="1" applyFill="1" applyBorder="1" applyAlignment="1">
      <alignment horizontal="center" vertical="center"/>
    </xf>
    <xf numFmtId="0" fontId="45" fillId="12" borderId="0" xfId="0" applyFont="1" applyFill="1" applyBorder="1" applyAlignment="1" applyProtection="1">
      <alignment horizontal="center" vertical="center" textRotation="90" wrapText="1"/>
    </xf>
    <xf numFmtId="0" fontId="47" fillId="13" borderId="0" xfId="0" applyFont="1" applyFill="1" applyBorder="1" applyAlignment="1" applyProtection="1">
      <alignment horizontal="center" vertical="center" wrapText="1"/>
    </xf>
    <xf numFmtId="3" fontId="48" fillId="0" borderId="86" xfId="0" applyNumberFormat="1" applyFont="1" applyFill="1" applyBorder="1" applyAlignment="1" applyProtection="1">
      <alignment horizontal="center" vertical="center" wrapText="1"/>
    </xf>
    <xf numFmtId="3" fontId="44" fillId="13" borderId="0" xfId="0" applyNumberFormat="1" applyFont="1" applyFill="1" applyBorder="1" applyAlignment="1" applyProtection="1">
      <alignment horizontal="right" vertical="center" wrapText="1"/>
    </xf>
    <xf numFmtId="3" fontId="43" fillId="13" borderId="0" xfId="0" applyNumberFormat="1" applyFont="1" applyFill="1" applyBorder="1" applyAlignment="1" applyProtection="1">
      <alignment horizontal="left" vertical="top" wrapText="1"/>
    </xf>
    <xf numFmtId="0" fontId="44" fillId="13" borderId="0" xfId="0" applyFont="1" applyFill="1" applyBorder="1" applyAlignment="1">
      <alignment horizontal="center" vertical="center" textRotation="90" wrapText="1"/>
    </xf>
    <xf numFmtId="0" fontId="52" fillId="9" borderId="0" xfId="0" applyFont="1" applyFill="1" applyBorder="1" applyAlignment="1" applyProtection="1">
      <alignment horizontal="center" vertical="center" wrapText="1"/>
    </xf>
    <xf numFmtId="0" fontId="49" fillId="14" borderId="11" xfId="0" applyFont="1" applyFill="1" applyBorder="1" applyAlignment="1" applyProtection="1">
      <alignment horizontal="right" vertical="center" wrapText="1"/>
    </xf>
    <xf numFmtId="0" fontId="45" fillId="12" borderId="98" xfId="0" applyFont="1" applyFill="1" applyBorder="1" applyAlignment="1" applyProtection="1">
      <alignment horizontal="center" vertical="center" wrapText="1"/>
    </xf>
    <xf numFmtId="0" fontId="47" fillId="13" borderId="98" xfId="0" applyFont="1" applyFill="1" applyBorder="1" applyAlignment="1" applyProtection="1">
      <alignment horizontal="center" vertical="center" textRotation="90" wrapText="1"/>
    </xf>
    <xf numFmtId="1" fontId="47" fillId="13" borderId="98" xfId="0" applyNumberFormat="1" applyFont="1" applyFill="1" applyBorder="1" applyAlignment="1" applyProtection="1">
      <alignment horizontal="center" vertical="center" textRotation="90" wrapText="1"/>
    </xf>
    <xf numFmtId="0" fontId="53" fillId="14" borderId="99" xfId="0" applyFont="1" applyFill="1" applyBorder="1" applyAlignment="1" applyProtection="1">
      <alignment horizontal="center" vertical="center" wrapText="1"/>
    </xf>
    <xf numFmtId="0" fontId="53" fillId="14" borderId="100" xfId="0" applyFont="1" applyFill="1" applyBorder="1" applyAlignment="1" applyProtection="1">
      <alignment horizontal="center" vertical="center" wrapText="1"/>
    </xf>
    <xf numFmtId="0" fontId="53" fillId="14" borderId="101" xfId="0" applyFont="1" applyFill="1" applyBorder="1" applyAlignment="1" applyProtection="1">
      <alignment horizontal="center" vertical="center" wrapText="1"/>
    </xf>
    <xf numFmtId="0" fontId="41" fillId="12" borderId="17" xfId="0" applyFont="1" applyFill="1" applyBorder="1" applyAlignment="1" applyProtection="1">
      <alignment horizontal="left" vertical="center" wrapText="1"/>
    </xf>
    <xf numFmtId="0" fontId="53" fillId="14" borderId="20" xfId="0" applyFont="1" applyFill="1" applyBorder="1" applyAlignment="1" applyProtection="1">
      <alignment horizontal="center" vertical="center" wrapText="1"/>
    </xf>
    <xf numFmtId="0" fontId="53" fillId="14" borderId="21" xfId="0" applyFont="1" applyFill="1" applyBorder="1" applyAlignment="1" applyProtection="1">
      <alignment horizontal="center" vertical="center" wrapText="1"/>
    </xf>
    <xf numFmtId="0" fontId="41" fillId="12" borderId="36" xfId="0" applyFont="1" applyFill="1" applyBorder="1" applyAlignment="1" applyProtection="1">
      <alignment horizontal="right" vertical="center" wrapText="1"/>
    </xf>
    <xf numFmtId="0" fontId="49" fillId="14" borderId="36" xfId="0" applyFont="1" applyFill="1" applyBorder="1" applyAlignment="1" applyProtection="1">
      <alignment horizontal="right" vertical="center" wrapText="1"/>
    </xf>
    <xf numFmtId="0" fontId="49" fillId="14" borderId="0" xfId="0" applyFont="1" applyFill="1" applyBorder="1" applyAlignment="1" applyProtection="1">
      <alignment horizontal="right" vertical="center" wrapText="1"/>
    </xf>
    <xf numFmtId="0" fontId="45" fillId="12" borderId="31" xfId="0" applyFont="1" applyFill="1" applyBorder="1" applyAlignment="1" applyProtection="1">
      <alignment horizontal="center" vertical="center" wrapText="1"/>
    </xf>
    <xf numFmtId="0" fontId="47" fillId="13" borderId="31" xfId="0" applyFont="1" applyFill="1" applyBorder="1" applyAlignment="1" applyProtection="1">
      <alignment horizontal="center" vertical="center" textRotation="90" wrapText="1"/>
    </xf>
    <xf numFmtId="0" fontId="53" fillId="14" borderId="19" xfId="0" applyFont="1" applyFill="1" applyBorder="1" applyAlignment="1" applyProtection="1">
      <alignment horizontal="center" vertical="center" wrapText="1"/>
    </xf>
    <xf numFmtId="0" fontId="49" fillId="14" borderId="46" xfId="0" applyFont="1" applyFill="1" applyBorder="1" applyAlignment="1" applyProtection="1">
      <alignment horizontal="center" vertical="center" wrapText="1"/>
    </xf>
    <xf numFmtId="0" fontId="53" fillId="12" borderId="20" xfId="0" applyFont="1" applyFill="1" applyBorder="1" applyAlignment="1" applyProtection="1">
      <alignment horizontal="center" vertical="center" wrapText="1"/>
    </xf>
    <xf numFmtId="0" fontId="53" fillId="12" borderId="19" xfId="0" applyFont="1" applyFill="1" applyBorder="1" applyAlignment="1" applyProtection="1">
      <alignment horizontal="center" vertical="center" wrapText="1"/>
    </xf>
    <xf numFmtId="0" fontId="49" fillId="14" borderId="31" xfId="0" applyFont="1" applyFill="1" applyBorder="1" applyAlignment="1" applyProtection="1">
      <alignment horizontal="right" vertical="center" wrapText="1"/>
    </xf>
    <xf numFmtId="0" fontId="49" fillId="14" borderId="102" xfId="0" applyFont="1" applyFill="1" applyBorder="1" applyAlignment="1" applyProtection="1">
      <alignment horizontal="right" vertical="center" wrapText="1"/>
    </xf>
    <xf numFmtId="0" fontId="53" fillId="12" borderId="99" xfId="0" applyFont="1" applyFill="1" applyBorder="1" applyAlignment="1" applyProtection="1">
      <alignment horizontal="center" vertical="center" wrapText="1"/>
    </xf>
    <xf numFmtId="0" fontId="53" fillId="12" borderId="100" xfId="0" applyFont="1" applyFill="1" applyBorder="1" applyAlignment="1" applyProtection="1">
      <alignment horizontal="center" vertical="center" wrapText="1"/>
    </xf>
    <xf numFmtId="0" fontId="49" fillId="12" borderId="0" xfId="0" applyFont="1" applyFill="1" applyBorder="1" applyAlignment="1" applyProtection="1">
      <alignment horizontal="center" vertical="center" wrapText="1"/>
    </xf>
    <xf numFmtId="0" fontId="40" fillId="0" borderId="12" xfId="0" applyFont="1" applyBorder="1" applyAlignment="1">
      <alignment horizontal="center" wrapText="1"/>
    </xf>
    <xf numFmtId="0" fontId="49" fillId="12" borderId="0" xfId="0" applyFont="1" applyFill="1" applyBorder="1" applyAlignment="1" applyProtection="1">
      <alignment horizontal="center" vertical="center" textRotation="90" wrapText="1"/>
    </xf>
    <xf numFmtId="0" fontId="61" fillId="9" borderId="0" xfId="0" applyFont="1" applyFill="1" applyBorder="1" applyAlignment="1" applyProtection="1">
      <alignment horizontal="right" vertical="center"/>
    </xf>
    <xf numFmtId="0" fontId="62" fillId="9" borderId="0" xfId="0" applyFont="1" applyFill="1" applyBorder="1" applyAlignment="1" applyProtection="1">
      <alignment horizontal="left" vertical="top"/>
    </xf>
    <xf numFmtId="0" fontId="14" fillId="9" borderId="103" xfId="0" applyFont="1" applyFill="1" applyBorder="1" applyAlignment="1" applyProtection="1">
      <alignment horizontal="right" vertical="center"/>
    </xf>
    <xf numFmtId="1" fontId="14" fillId="9" borderId="2" xfId="0" applyNumberFormat="1" applyFont="1" applyFill="1" applyBorder="1" applyAlignment="1" applyProtection="1">
      <alignment horizontal="right" vertical="center"/>
    </xf>
    <xf numFmtId="1" fontId="14" fillId="9" borderId="104" xfId="0" applyNumberFormat="1" applyFont="1" applyFill="1" applyBorder="1" applyAlignment="1" applyProtection="1">
      <alignment horizontal="left" vertical="center"/>
    </xf>
    <xf numFmtId="0" fontId="27" fillId="9" borderId="2" xfId="0" applyFont="1" applyFill="1" applyBorder="1" applyAlignment="1" applyProtection="1">
      <alignment horizontal="right" vertical="top"/>
    </xf>
    <xf numFmtId="0" fontId="64" fillId="11" borderId="6" xfId="0" applyFont="1" applyFill="1" applyBorder="1" applyAlignment="1" applyProtection="1">
      <alignment horizontal="center" vertical="center" wrapText="1"/>
    </xf>
    <xf numFmtId="0" fontId="64" fillId="11" borderId="105" xfId="0" applyFont="1" applyFill="1" applyBorder="1" applyAlignment="1" applyProtection="1">
      <alignment horizontal="center" vertical="center" wrapText="1"/>
    </xf>
    <xf numFmtId="0" fontId="64" fillId="12" borderId="106" xfId="0" applyFont="1" applyFill="1" applyBorder="1" applyAlignment="1" applyProtection="1">
      <alignment horizontal="center" vertical="center" wrapText="1"/>
    </xf>
    <xf numFmtId="0" fontId="65" fillId="9" borderId="106" xfId="14" applyFont="1" applyFill="1" applyBorder="1" applyAlignment="1" applyProtection="1">
      <alignment horizontal="left" vertical="center" wrapText="1" indent="1"/>
    </xf>
    <xf numFmtId="0" fontId="64" fillId="12" borderId="107" xfId="0" applyFont="1" applyFill="1" applyBorder="1" applyAlignment="1" applyProtection="1">
      <alignment horizontal="center" vertical="center" wrapText="1"/>
    </xf>
    <xf numFmtId="0" fontId="64" fillId="12" borderId="105" xfId="0" applyFont="1" applyFill="1" applyBorder="1" applyAlignment="1" applyProtection="1">
      <alignment horizontal="center" vertical="center" wrapText="1"/>
    </xf>
    <xf numFmtId="0" fontId="14" fillId="9" borderId="0" xfId="0" applyFont="1" applyFill="1" applyBorder="1" applyAlignment="1">
      <alignment horizontal="left" vertical="center" indent="7"/>
    </xf>
    <xf numFmtId="0" fontId="13" fillId="9" borderId="0" xfId="0" applyFont="1" applyFill="1" applyBorder="1" applyAlignment="1">
      <alignment horizontal="left" indent="7"/>
    </xf>
    <xf numFmtId="0" fontId="66" fillId="9" borderId="0" xfId="0" applyFont="1" applyFill="1" applyBorder="1" applyAlignment="1">
      <alignment horizontal="left" vertical="center"/>
    </xf>
    <xf numFmtId="0" fontId="0" fillId="9" borderId="0" xfId="0" applyFill="1" applyBorder="1" applyAlignment="1">
      <alignment horizontal="left" vertical="top" wrapText="1"/>
    </xf>
    <xf numFmtId="1" fontId="22" fillId="12" borderId="1" xfId="0" applyNumberFormat="1" applyFont="1" applyFill="1" applyBorder="1" applyAlignment="1">
      <alignment horizontal="left" vertical="center" indent="1"/>
    </xf>
    <xf numFmtId="0" fontId="27" fillId="0" borderId="0" xfId="0" applyFont="1" applyBorder="1" applyAlignment="1">
      <alignment horizontal="center" vertical="center" wrapText="1"/>
    </xf>
    <xf numFmtId="0" fontId="64" fillId="11" borderId="13" xfId="0" applyFont="1" applyFill="1" applyBorder="1" applyAlignment="1">
      <alignment horizontal="center" vertical="center" wrapText="1"/>
    </xf>
    <xf numFmtId="0" fontId="72" fillId="0" borderId="108" xfId="0" applyFont="1" applyBorder="1" applyAlignment="1">
      <alignment horizontal="center" vertical="center" wrapText="1"/>
    </xf>
    <xf numFmtId="3" fontId="72" fillId="0" borderId="108" xfId="0" applyNumberFormat="1" applyFont="1" applyFill="1" applyBorder="1" applyAlignment="1" applyProtection="1">
      <alignment horizontal="center" vertical="center" wrapText="1"/>
    </xf>
    <xf numFmtId="3" fontId="72" fillId="12" borderId="12" xfId="0" applyNumberFormat="1" applyFont="1" applyFill="1" applyBorder="1" applyAlignment="1" applyProtection="1">
      <alignment horizontal="center" vertical="center" wrapText="1"/>
    </xf>
    <xf numFmtId="3" fontId="72" fillId="12" borderId="108" xfId="0" applyNumberFormat="1" applyFont="1" applyFill="1" applyBorder="1" applyAlignment="1" applyProtection="1">
      <alignment horizontal="center" vertical="center" wrapText="1"/>
    </xf>
    <xf numFmtId="3" fontId="72" fillId="12" borderId="109" xfId="0" applyNumberFormat="1" applyFont="1" applyFill="1" applyBorder="1" applyAlignment="1" applyProtection="1">
      <alignment horizontal="center" vertical="center" wrapText="1"/>
    </xf>
    <xf numFmtId="0" fontId="72" fillId="0" borderId="110" xfId="0" applyFont="1" applyFill="1" applyBorder="1" applyAlignment="1">
      <alignment horizontal="center" vertical="center" wrapText="1"/>
    </xf>
    <xf numFmtId="0" fontId="72" fillId="0" borderId="5" xfId="0" applyFont="1" applyBorder="1" applyAlignment="1">
      <alignment horizontal="center"/>
    </xf>
    <xf numFmtId="0" fontId="70" fillId="12" borderId="111" xfId="0" applyFont="1" applyFill="1" applyBorder="1" applyAlignment="1" applyProtection="1">
      <alignment horizontal="center" vertical="center" wrapText="1"/>
    </xf>
    <xf numFmtId="0" fontId="70" fillId="12" borderId="12" xfId="0" applyFont="1" applyFill="1" applyBorder="1" applyAlignment="1" applyProtection="1">
      <alignment horizontal="center" vertical="center" wrapText="1"/>
    </xf>
    <xf numFmtId="3" fontId="72" fillId="12" borderId="112" xfId="0" applyNumberFormat="1" applyFont="1" applyFill="1" applyBorder="1" applyAlignment="1" applyProtection="1">
      <alignment horizontal="center" vertical="center" wrapText="1"/>
    </xf>
    <xf numFmtId="3" fontId="72" fillId="0" borderId="81" xfId="0" applyNumberFormat="1" applyFont="1" applyFill="1" applyBorder="1" applyAlignment="1" applyProtection="1">
      <alignment horizontal="center" vertical="center" wrapText="1"/>
    </xf>
    <xf numFmtId="0" fontId="76" fillId="15" borderId="30" xfId="0" applyFont="1" applyFill="1" applyBorder="1" applyAlignment="1">
      <alignment horizontal="center"/>
    </xf>
  </cellXfs>
  <cellStyles count="21">
    <cellStyle name="Accent 1 1" xfId="1" xr:uid="{00000000-0005-0000-0000-000000000000}"/>
    <cellStyle name="Accent 2 1" xfId="2" xr:uid="{00000000-0005-0000-0000-000001000000}"/>
    <cellStyle name="Accent 3 1" xfId="3" xr:uid="{00000000-0005-0000-0000-000002000000}"/>
    <cellStyle name="Accent 4" xfId="4" xr:uid="{00000000-0005-0000-0000-000003000000}"/>
    <cellStyle name="Bad 1" xfId="5" xr:uid="{00000000-0005-0000-0000-000004000000}"/>
    <cellStyle name="Error 1" xfId="6" xr:uid="{00000000-0005-0000-0000-000005000000}"/>
    <cellStyle name="Footnote 1" xfId="7" xr:uid="{00000000-0005-0000-0000-000006000000}"/>
    <cellStyle name="Good 1" xfId="8" xr:uid="{00000000-0005-0000-0000-000007000000}"/>
    <cellStyle name="Heading 1 1" xfId="9" xr:uid="{00000000-0005-0000-0000-000008000000}"/>
    <cellStyle name="Heading 2 1" xfId="10" xr:uid="{00000000-0005-0000-0000-000009000000}"/>
    <cellStyle name="Heading 3" xfId="11" xr:uid="{00000000-0005-0000-0000-00000A000000}"/>
    <cellStyle name="Komma" xfId="13" builtinId="3"/>
    <cellStyle name="Link" xfId="12" builtinId="8"/>
    <cellStyle name="Normal_4. Bilanz Testat" xfId="14" xr:uid="{00000000-0005-0000-0000-00000E000000}"/>
    <cellStyle name="Note 1" xfId="15" xr:uid="{00000000-0005-0000-0000-00000F000000}"/>
    <cellStyle name="Prozent" xfId="16" builtinId="5"/>
    <cellStyle name="Standard" xfId="0" builtinId="0"/>
    <cellStyle name="Standard 2" xfId="17" xr:uid="{00000000-0005-0000-0000-000011000000}"/>
    <cellStyle name="Status 1" xfId="18" xr:uid="{00000000-0005-0000-0000-000012000000}"/>
    <cellStyle name="Text 1" xfId="19" xr:uid="{00000000-0005-0000-0000-000013000000}"/>
    <cellStyle name="Warning 1" xfId="20" xr:uid="{00000000-0005-0000-0000-000014000000}"/>
  </cellStyles>
  <dxfs count="26">
    <dxf>
      <font>
        <color rgb="FF99CC00"/>
      </font>
      <fill>
        <patternFill>
          <bgColor rgb="FF99CC00"/>
        </patternFill>
      </fill>
    </dxf>
    <dxf>
      <font>
        <color theme="0"/>
      </font>
      <fill>
        <patternFill patternType="none">
          <bgColor auto="1"/>
        </patternFill>
      </fill>
    </dxf>
    <dxf>
      <font>
        <color rgb="FF99CC00"/>
      </font>
      <fill>
        <patternFill>
          <bgColor rgb="FF99CC00"/>
        </patternFill>
      </fill>
    </dxf>
    <dxf>
      <font>
        <color theme="0"/>
      </font>
      <fill>
        <patternFill patternType="none">
          <bgColor auto="1"/>
        </patternFill>
      </fill>
    </dxf>
    <dxf>
      <font>
        <color rgb="FF99CC00"/>
      </font>
      <fill>
        <patternFill>
          <bgColor rgb="FF99CC00"/>
        </patternFill>
      </fill>
    </dxf>
    <dxf>
      <font>
        <color theme="0"/>
      </font>
      <fill>
        <patternFill patternType="none">
          <bgColor auto="1"/>
        </patternFill>
      </fill>
    </dxf>
    <dxf>
      <font>
        <color rgb="FF99CC00"/>
      </font>
      <fill>
        <patternFill>
          <bgColor rgb="FF99CC00"/>
        </patternFill>
      </fill>
    </dxf>
    <dxf>
      <font>
        <color rgb="FF333300"/>
      </font>
      <fill>
        <patternFill>
          <bgColor rgb="FF333300"/>
        </patternFill>
      </fill>
    </dxf>
    <dxf>
      <font>
        <color rgb="FF99CC00"/>
      </font>
      <fill>
        <patternFill>
          <bgColor rgb="FF99CC00"/>
        </patternFill>
      </fill>
    </dxf>
    <dxf>
      <font>
        <color rgb="FF99CC00"/>
      </font>
      <fill>
        <patternFill>
          <bgColor rgb="FF99CC00"/>
        </patternFill>
      </fill>
    </dxf>
    <dxf>
      <font>
        <color rgb="FF99CC00"/>
      </font>
      <fill>
        <patternFill>
          <bgColor rgb="FF99CC00"/>
        </patternFill>
      </fill>
    </dxf>
    <dxf>
      <font>
        <color rgb="FF99CC00"/>
      </font>
      <fill>
        <patternFill>
          <bgColor rgb="FF99CC00"/>
        </patternFill>
      </fill>
    </dxf>
    <dxf>
      <font>
        <color rgb="FF99CC00"/>
      </font>
      <fill>
        <patternFill>
          <bgColor rgb="FF99CC00"/>
        </patternFill>
      </fill>
    </dxf>
    <dxf>
      <font>
        <color rgb="FF99CC00"/>
      </font>
      <fill>
        <patternFill patternType="solid">
          <bgColor rgb="FF99CC00"/>
        </patternFill>
      </fill>
    </dxf>
    <dxf>
      <font>
        <color theme="0"/>
      </font>
      <fill>
        <patternFill patternType="none">
          <bgColor auto="1"/>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4EE257"/>
      <rgbColor rgb="000000D4"/>
      <rgbColor rgb="00FFFF00"/>
      <rgbColor rgb="00F20884"/>
      <rgbColor rgb="0000FFFF"/>
      <rgbColor rgb="00CC0000"/>
      <rgbColor rgb="00008000"/>
      <rgbColor rgb="00000080"/>
      <rgbColor rgb="00979700"/>
      <rgbColor rgb="00800080"/>
      <rgbColor rgb="00008080"/>
      <rgbColor rgb="00C0C0C0"/>
      <rgbColor rgb="00808080"/>
      <rgbColor rgb="00A6A6A6"/>
      <rgbColor rgb="0090713A"/>
      <rgbColor rgb="00FFFFCC"/>
      <rgbColor rgb="00E6E6E6"/>
      <rgbColor rgb="00660066"/>
      <rgbColor rgb="00EB613D"/>
      <rgbColor rgb="000066CC"/>
      <rgbColor rgb="00DDDDDD"/>
      <rgbColor rgb="00000080"/>
      <rgbColor rgb="00FF00FF"/>
      <rgbColor rgb="00FCF305"/>
      <rgbColor rgb="0000FFFF"/>
      <rgbColor rgb="00800080"/>
      <rgbColor rgb="00800000"/>
      <rgbColor rgb="00008080"/>
      <rgbColor rgb="000000FF"/>
      <rgbColor rgb="0000CCFF"/>
      <rgbColor rgb="00CCFFFF"/>
      <rgbColor rgb="00CCFFCC"/>
      <rgbColor rgb="00FFCCCC"/>
      <rgbColor rgb="00A2BD90"/>
      <rgbColor rgb="00FF99CC"/>
      <rgbColor rgb="00CC99FF"/>
      <rgbColor rgb="00FFCC99"/>
      <rgbColor rgb="003366FF"/>
      <rgbColor rgb="0033CC66"/>
      <rgbColor rgb="0099CC00"/>
      <rgbColor rgb="00CCCC00"/>
      <rgbColor rgb="00FF9900"/>
      <rgbColor rgb="00FF6600"/>
      <rgbColor rgb="00666699"/>
      <rgbColor rgb="00969696"/>
      <rgbColor rgb="00003366"/>
      <rgbColor rgb="00669999"/>
      <rgbColor rgb="00006600"/>
      <rgbColor rgb="00333300"/>
      <rgbColor rgb="00DD0806"/>
      <rgbColor rgb="00993366"/>
      <rgbColor rgb="00404040"/>
      <rgbColor rgb="00333333"/>
    </indexedColors>
    <mruColors>
      <color rgb="FF99CC00"/>
      <color rgb="FF33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8851383395949407"/>
          <c:y val="0.33861973135710977"/>
          <c:w val="0.22133711877564599"/>
          <c:h val="0.3209749884205651"/>
        </c:manualLayout>
      </c:layout>
      <c:radarChart>
        <c:radarStyle val="filled"/>
        <c:varyColors val="0"/>
        <c:ser>
          <c:idx val="0"/>
          <c:order val="0"/>
          <c:spPr>
            <a:solidFill>
              <a:srgbClr val="669999"/>
            </a:solidFill>
            <a:ln w="38100">
              <a:solidFill>
                <a:srgbClr val="666699"/>
              </a:solidFill>
              <a:prstDash val="solid"/>
            </a:ln>
          </c:spPr>
          <c:cat>
            <c:strRef>
              <c:f>'5. Values'!$B$18:$B$21</c:f>
              <c:strCache>
                <c:ptCount val="4"/>
                <c:pt idx="0">
                  <c:v>Menschenwürde</c:v>
                </c:pt>
                <c:pt idx="1">
                  <c:v>Solidarität &amp; Gerechtigkeit</c:v>
                </c:pt>
                <c:pt idx="2">
                  <c:v>Ökologische Nachhaltigkeit</c:v>
                </c:pt>
                <c:pt idx="3">
                  <c:v>Transparenz &amp; Mitentscheidung</c:v>
                </c:pt>
              </c:strCache>
            </c:strRef>
          </c:cat>
          <c:val>
            <c:numRef>
              <c:f>'5. Values'!$G$18:$G$21</c:f>
              <c:numCache>
                <c:formatCode>0\ %</c:formatCode>
                <c:ptCount val="4"/>
                <c:pt idx="0">
                  <c:v>0</c:v>
                </c:pt>
                <c:pt idx="1">
                  <c:v>0</c:v>
                </c:pt>
                <c:pt idx="2">
                  <c:v>0</c:v>
                </c:pt>
                <c:pt idx="3">
                  <c:v>0</c:v>
                </c:pt>
              </c:numCache>
            </c:numRef>
          </c:val>
          <c:extLst>
            <c:ext xmlns:c16="http://schemas.microsoft.com/office/drawing/2014/chart" uri="{C3380CC4-5D6E-409C-BE32-E72D297353CC}">
              <c16:uniqueId val="{00000000-FE96-4AB8-9E25-98924EDABE32}"/>
            </c:ext>
          </c:extLst>
        </c:ser>
        <c:dLbls>
          <c:showLegendKey val="0"/>
          <c:showVal val="0"/>
          <c:showCatName val="0"/>
          <c:showSerName val="0"/>
          <c:showPercent val="0"/>
          <c:showBubbleSize val="0"/>
        </c:dLbls>
        <c:axId val="458780312"/>
        <c:axId val="1"/>
      </c:radarChart>
      <c:catAx>
        <c:axId val="45878031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99CC00"/>
                </a:solidFill>
                <a:latin typeface="Arial"/>
                <a:ea typeface="Arial"/>
                <a:cs typeface="Arial"/>
              </a:defRPr>
            </a:pPr>
            <a:endParaRPr lang="de-DE"/>
          </a:p>
        </c:txPr>
        <c:crossAx val="1"/>
        <c:crossesAt val="0"/>
        <c:auto val="0"/>
        <c:lblAlgn val="ctr"/>
        <c:lblOffset val="100"/>
        <c:noMultiLvlLbl val="0"/>
      </c:catAx>
      <c:valAx>
        <c:axId val="1"/>
        <c:scaling>
          <c:orientation val="minMax"/>
          <c:max val="1"/>
          <c:min val="0"/>
        </c:scaling>
        <c:delete val="0"/>
        <c:axPos val="l"/>
        <c:majorGridlines>
          <c:spPr>
            <a:ln w="3175">
              <a:solidFill>
                <a:srgbClr val="A2BD90"/>
              </a:solidFill>
              <a:prstDash val="solid"/>
            </a:ln>
          </c:spPr>
        </c:majorGridlines>
        <c:numFmt formatCode="0\ %" sourceLinked="1"/>
        <c:majorTickMark val="cross"/>
        <c:minorTickMark val="none"/>
        <c:tickLblPos val="none"/>
        <c:spPr>
          <a:ln w="3175">
            <a:solidFill>
              <a:srgbClr val="808080"/>
            </a:solidFill>
            <a:prstDash val="solid"/>
          </a:ln>
        </c:spPr>
        <c:crossAx val="458780312"/>
        <c:crosses val="autoZero"/>
        <c:crossBetween val="midCat"/>
        <c:majorUnit val="0.2"/>
        <c:minorUnit val="0.04"/>
      </c:valAx>
      <c:spPr>
        <a:noFill/>
        <a:ln w="25400">
          <a:noFill/>
        </a:ln>
      </c:spPr>
    </c:plotArea>
    <c:plotVisOnly val="1"/>
    <c:dispBlanksAs val="gap"/>
    <c:showDLblsOverMax val="0"/>
  </c:chart>
  <c:spPr>
    <a:noFill/>
    <a:ln w="6350">
      <a:noFill/>
    </a:ln>
  </c:spPr>
  <c:txPr>
    <a:bodyPr/>
    <a:lstStyle/>
    <a:p>
      <a:pPr>
        <a:defRPr sz="1100" b="0" i="0" u="none" strike="noStrike" baseline="0">
          <a:solidFill>
            <a:srgbClr val="000000"/>
          </a:solidFill>
          <a:latin typeface="Calibri"/>
          <a:ea typeface="Calibri"/>
          <a:cs typeface="Calibri"/>
        </a:defRPr>
      </a:pPr>
      <a:endParaRPr lang="de-DE"/>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14308695284049"/>
          <c:y val="0.37536971277283154"/>
          <c:w val="0.23138819744306155"/>
          <c:h val="0.31255050635010495"/>
        </c:manualLayout>
      </c:layout>
      <c:radarChart>
        <c:radarStyle val="filled"/>
        <c:varyColors val="0"/>
        <c:ser>
          <c:idx val="0"/>
          <c:order val="0"/>
          <c:spPr>
            <a:solidFill>
              <a:srgbClr val="669999"/>
            </a:solidFill>
            <a:ln w="38100">
              <a:solidFill>
                <a:srgbClr val="666699"/>
              </a:solidFill>
              <a:prstDash val="solid"/>
            </a:ln>
          </c:spPr>
          <c:cat>
            <c:strRef>
              <c:f>'6. Stakeholder'!$B$18:$B$22</c:f>
              <c:strCache>
                <c:ptCount val="5"/>
                <c:pt idx="0">
                  <c:v>Lieferant*innen</c:v>
                </c:pt>
                <c:pt idx="1">
                  <c:v>Eigentümer*innen und Finanzpartner*innen</c:v>
                </c:pt>
                <c:pt idx="2">
                  <c:v>Mitarbeitende</c:v>
                </c:pt>
                <c:pt idx="3">
                  <c:v>Kund*nnen und Mitunternehmen</c:v>
                </c:pt>
                <c:pt idx="4">
                  <c:v>Gesellschaftliches Umfeld</c:v>
                </c:pt>
              </c:strCache>
            </c:strRef>
          </c:cat>
          <c:val>
            <c:numRef>
              <c:f>'6. Stakeholder'!$G$18:$G$22</c:f>
              <c:numCache>
                <c:formatCode>0\ %</c:formatCode>
                <c:ptCount val="5"/>
                <c:pt idx="0">
                  <c:v>0</c:v>
                </c:pt>
                <c:pt idx="1">
                  <c:v>0</c:v>
                </c:pt>
                <c:pt idx="2">
                  <c:v>0</c:v>
                </c:pt>
                <c:pt idx="3">
                  <c:v>0</c:v>
                </c:pt>
                <c:pt idx="4">
                  <c:v>0</c:v>
                </c:pt>
              </c:numCache>
            </c:numRef>
          </c:val>
          <c:extLst>
            <c:ext xmlns:c16="http://schemas.microsoft.com/office/drawing/2014/chart" uri="{C3380CC4-5D6E-409C-BE32-E72D297353CC}">
              <c16:uniqueId val="{00000000-6F2B-446B-BA7C-3D4A23E8319A}"/>
            </c:ext>
          </c:extLst>
        </c:ser>
        <c:dLbls>
          <c:showLegendKey val="0"/>
          <c:showVal val="0"/>
          <c:showCatName val="0"/>
          <c:showSerName val="0"/>
          <c:showPercent val="0"/>
          <c:showBubbleSize val="0"/>
        </c:dLbls>
        <c:axId val="458784248"/>
        <c:axId val="1"/>
      </c:radarChart>
      <c:catAx>
        <c:axId val="458784248"/>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99CC00"/>
                </a:solidFill>
                <a:latin typeface="Arial"/>
                <a:ea typeface="Arial"/>
                <a:cs typeface="Arial"/>
              </a:defRPr>
            </a:pPr>
            <a:endParaRPr lang="de-DE"/>
          </a:p>
        </c:txPr>
        <c:crossAx val="1"/>
        <c:crossesAt val="0"/>
        <c:auto val="0"/>
        <c:lblAlgn val="ctr"/>
        <c:lblOffset val="100"/>
        <c:noMultiLvlLbl val="0"/>
      </c:catAx>
      <c:valAx>
        <c:axId val="1"/>
        <c:scaling>
          <c:orientation val="minMax"/>
          <c:max val="1"/>
          <c:min val="0"/>
        </c:scaling>
        <c:delete val="0"/>
        <c:axPos val="l"/>
        <c:majorGridlines>
          <c:spPr>
            <a:ln w="3175">
              <a:solidFill>
                <a:srgbClr val="A2BD90"/>
              </a:solidFill>
              <a:prstDash val="solid"/>
            </a:ln>
          </c:spPr>
        </c:majorGridlines>
        <c:numFmt formatCode="0\ %" sourceLinked="1"/>
        <c:majorTickMark val="cross"/>
        <c:minorTickMark val="none"/>
        <c:tickLblPos val="none"/>
        <c:spPr>
          <a:ln w="3175">
            <a:solidFill>
              <a:srgbClr val="808080"/>
            </a:solidFill>
            <a:prstDash val="solid"/>
          </a:ln>
        </c:spPr>
        <c:crossAx val="458784248"/>
        <c:crosses val="autoZero"/>
        <c:crossBetween val="midCat"/>
        <c:majorUnit val="0.2"/>
        <c:minorUnit val="0.04"/>
      </c:valAx>
      <c:spPr>
        <a:noFill/>
        <a:ln w="25400">
          <a:noFill/>
        </a:ln>
      </c:spPr>
    </c:plotArea>
    <c:plotVisOnly val="1"/>
    <c:dispBlanksAs val="gap"/>
    <c:showDLblsOverMax val="0"/>
  </c:chart>
  <c:spPr>
    <a:noFill/>
    <a:ln w="6350">
      <a:noFill/>
    </a:ln>
  </c:spPr>
  <c:txPr>
    <a:bodyPr/>
    <a:lstStyle/>
    <a:p>
      <a:pPr>
        <a:defRPr sz="1100" b="0" i="0" u="none" strike="noStrike" baseline="0">
          <a:solidFill>
            <a:srgbClr val="000000"/>
          </a:solidFill>
          <a:latin typeface="Calibri"/>
          <a:ea typeface="Calibri"/>
          <a:cs typeface="Calibri"/>
        </a:defRPr>
      </a:pPr>
      <a:endParaRPr lang="de-DE"/>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5564064217373"/>
          <c:y val="0.23730376022051899"/>
          <c:w val="0.40358492945818841"/>
          <c:h val="0.52102397096965536"/>
        </c:manualLayout>
      </c:layout>
      <c:radarChart>
        <c:radarStyle val="filled"/>
        <c:varyColors val="0"/>
        <c:ser>
          <c:idx val="0"/>
          <c:order val="0"/>
          <c:spPr>
            <a:solidFill>
              <a:srgbClr val="669999"/>
            </a:solidFill>
            <a:ln w="38100">
              <a:solidFill>
                <a:srgbClr val="666699"/>
              </a:solidFill>
              <a:prstDash val="solid"/>
            </a:ln>
          </c:spPr>
          <c:cat>
            <c:strRef>
              <c:f>'7. Topics'!$B$18:$B$37</c:f>
              <c:strCache>
                <c:ptCount val="20"/>
                <c:pt idx="0">
                  <c:v>A1</c:v>
                </c:pt>
                <c:pt idx="1">
                  <c:v>A2</c:v>
                </c:pt>
                <c:pt idx="2">
                  <c:v>A3</c:v>
                </c:pt>
                <c:pt idx="3">
                  <c:v>A4</c:v>
                </c:pt>
                <c:pt idx="4">
                  <c:v>B1</c:v>
                </c:pt>
                <c:pt idx="5">
                  <c:v>B2</c:v>
                </c:pt>
                <c:pt idx="6">
                  <c:v>B3</c:v>
                </c:pt>
                <c:pt idx="7">
                  <c:v>B4</c:v>
                </c:pt>
                <c:pt idx="8">
                  <c:v>C1</c:v>
                </c:pt>
                <c:pt idx="9">
                  <c:v>C2</c:v>
                </c:pt>
                <c:pt idx="10">
                  <c:v>C3</c:v>
                </c:pt>
                <c:pt idx="11">
                  <c:v>C4</c:v>
                </c:pt>
                <c:pt idx="12">
                  <c:v>D1</c:v>
                </c:pt>
                <c:pt idx="13">
                  <c:v>D2</c:v>
                </c:pt>
                <c:pt idx="14">
                  <c:v>D3</c:v>
                </c:pt>
                <c:pt idx="15">
                  <c:v>D4</c:v>
                </c:pt>
                <c:pt idx="16">
                  <c:v>E1</c:v>
                </c:pt>
                <c:pt idx="17">
                  <c:v>E2</c:v>
                </c:pt>
                <c:pt idx="18">
                  <c:v>E3</c:v>
                </c:pt>
                <c:pt idx="19">
                  <c:v>E4</c:v>
                </c:pt>
              </c:strCache>
            </c:strRef>
          </c:cat>
          <c:val>
            <c:numRef>
              <c:f>'7. Topics'!$G$18:$G$37</c:f>
              <c:numCache>
                <c:formatCode>0\ %</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64E5-4FBF-B775-D806AEE7E715}"/>
            </c:ext>
          </c:extLst>
        </c:ser>
        <c:dLbls>
          <c:showLegendKey val="0"/>
          <c:showVal val="0"/>
          <c:showCatName val="0"/>
          <c:showSerName val="0"/>
          <c:showPercent val="0"/>
          <c:showBubbleSize val="0"/>
        </c:dLbls>
        <c:axId val="458783592"/>
        <c:axId val="1"/>
      </c:radarChart>
      <c:catAx>
        <c:axId val="45878359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99CC00"/>
                </a:solidFill>
                <a:latin typeface="Arial"/>
                <a:ea typeface="Arial"/>
                <a:cs typeface="Arial"/>
              </a:defRPr>
            </a:pPr>
            <a:endParaRPr lang="de-DE"/>
          </a:p>
        </c:txPr>
        <c:crossAx val="1"/>
        <c:crossesAt val="0"/>
        <c:auto val="0"/>
        <c:lblAlgn val="ctr"/>
        <c:lblOffset val="100"/>
        <c:noMultiLvlLbl val="0"/>
      </c:catAx>
      <c:valAx>
        <c:axId val="1"/>
        <c:scaling>
          <c:orientation val="minMax"/>
          <c:max val="1"/>
          <c:min val="0"/>
        </c:scaling>
        <c:delete val="0"/>
        <c:axPos val="l"/>
        <c:majorGridlines>
          <c:spPr>
            <a:ln w="3175">
              <a:solidFill>
                <a:srgbClr val="A2BD90"/>
              </a:solidFill>
              <a:prstDash val="solid"/>
            </a:ln>
          </c:spPr>
        </c:majorGridlines>
        <c:numFmt formatCode="0\ %" sourceLinked="1"/>
        <c:majorTickMark val="cross"/>
        <c:minorTickMark val="none"/>
        <c:tickLblPos val="none"/>
        <c:spPr>
          <a:ln w="3175">
            <a:solidFill>
              <a:srgbClr val="808080"/>
            </a:solidFill>
            <a:prstDash val="solid"/>
          </a:ln>
        </c:spPr>
        <c:crossAx val="458783592"/>
        <c:crosses val="autoZero"/>
        <c:crossBetween val="midCat"/>
        <c:majorUnit val="0.2"/>
        <c:minorUnit val="0.04"/>
      </c:valAx>
      <c:spPr>
        <a:noFill/>
        <a:ln w="25400">
          <a:noFill/>
        </a:ln>
      </c:spPr>
    </c:plotArea>
    <c:plotVisOnly val="1"/>
    <c:dispBlanksAs val="gap"/>
    <c:showDLblsOverMax val="0"/>
  </c:chart>
  <c:spPr>
    <a:noFill/>
    <a:ln w="6350">
      <a:noFill/>
    </a:ln>
  </c:spPr>
  <c:txPr>
    <a:bodyPr/>
    <a:lstStyle/>
    <a:p>
      <a:pPr>
        <a:defRPr sz="1100" b="0" i="0" u="none" strike="noStrike" baseline="0">
          <a:solidFill>
            <a:srgbClr val="000000"/>
          </a:solidFill>
          <a:latin typeface="Calibri"/>
          <a:ea typeface="Calibri"/>
          <a:cs typeface="Calibri"/>
        </a:defRPr>
      </a:pPr>
      <a:endParaRPr lang="de-DE"/>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1409700</xdr:colOff>
      <xdr:row>0</xdr:row>
      <xdr:rowOff>0</xdr:rowOff>
    </xdr:from>
    <xdr:to>
      <xdr:col>3</xdr:col>
      <xdr:colOff>4429125</xdr:colOff>
      <xdr:row>2</xdr:row>
      <xdr:rowOff>28575</xdr:rowOff>
    </xdr:to>
    <xdr:pic>
      <xdr:nvPicPr>
        <xdr:cNvPr id="1076" name="Picture 44" descr="ECG_EN-screen.png">
          <a:extLst>
            <a:ext uri="{FF2B5EF4-FFF2-40B4-BE49-F238E27FC236}">
              <a16:creationId xmlns:a16="http://schemas.microsoft.com/office/drawing/2014/main" id="{3B6EBDDC-2899-49C1-903B-2934BCC2E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0"/>
          <a:ext cx="30194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9525</xdr:colOff>
      <xdr:row>1</xdr:row>
      <xdr:rowOff>66675</xdr:rowOff>
    </xdr:from>
    <xdr:to>
      <xdr:col>18</xdr:col>
      <xdr:colOff>9525</xdr:colOff>
      <xdr:row>5</xdr:row>
      <xdr:rowOff>57150</xdr:rowOff>
    </xdr:to>
    <xdr:pic>
      <xdr:nvPicPr>
        <xdr:cNvPr id="6189" name="Picture 44" descr="ECG_EN-screen.png">
          <a:extLst>
            <a:ext uri="{FF2B5EF4-FFF2-40B4-BE49-F238E27FC236}">
              <a16:creationId xmlns:a16="http://schemas.microsoft.com/office/drawing/2014/main" id="{88B9908D-23DB-4459-AABC-5E74A363CA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8625" y="228600"/>
          <a:ext cx="18669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76200</xdr:rowOff>
    </xdr:from>
    <xdr:to>
      <xdr:col>5</xdr:col>
      <xdr:colOff>857250</xdr:colOff>
      <xdr:row>15</xdr:row>
      <xdr:rowOff>762000</xdr:rowOff>
    </xdr:to>
    <xdr:graphicFrame macro="">
      <xdr:nvGraphicFramePr>
        <xdr:cNvPr id="7257" name="Diagramm 1">
          <a:extLst>
            <a:ext uri="{FF2B5EF4-FFF2-40B4-BE49-F238E27FC236}">
              <a16:creationId xmlns:a16="http://schemas.microsoft.com/office/drawing/2014/main" id="{32BC307D-6986-4055-B611-6424AD698D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38100</xdr:rowOff>
    </xdr:from>
    <xdr:to>
      <xdr:col>1</xdr:col>
      <xdr:colOff>504825</xdr:colOff>
      <xdr:row>3</xdr:row>
      <xdr:rowOff>142875</xdr:rowOff>
    </xdr:to>
    <xdr:pic>
      <xdr:nvPicPr>
        <xdr:cNvPr id="7258" name="Grafik 3">
          <a:extLst>
            <a:ext uri="{FF2B5EF4-FFF2-40B4-BE49-F238E27FC236}">
              <a16:creationId xmlns:a16="http://schemas.microsoft.com/office/drawing/2014/main" id="{B45DD9B5-83C2-44E5-B42F-8A0B84A5F8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209550"/>
          <a:ext cx="5048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3</xdr:row>
      <xdr:rowOff>85724</xdr:rowOff>
    </xdr:from>
    <xdr:to>
      <xdr:col>5</xdr:col>
      <xdr:colOff>977900</xdr:colOff>
      <xdr:row>15</xdr:row>
      <xdr:rowOff>1066799</xdr:rowOff>
    </xdr:to>
    <xdr:graphicFrame macro="">
      <xdr:nvGraphicFramePr>
        <xdr:cNvPr id="8281" name="Diagramm 1">
          <a:extLst>
            <a:ext uri="{FF2B5EF4-FFF2-40B4-BE49-F238E27FC236}">
              <a16:creationId xmlns:a16="http://schemas.microsoft.com/office/drawing/2014/main" id="{F2C3D0E8-CDD8-434A-A274-91F28E011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0</xdr:row>
      <xdr:rowOff>123825</xdr:rowOff>
    </xdr:from>
    <xdr:to>
      <xdr:col>1</xdr:col>
      <xdr:colOff>438150</xdr:colOff>
      <xdr:row>3</xdr:row>
      <xdr:rowOff>47625</xdr:rowOff>
    </xdr:to>
    <xdr:pic>
      <xdr:nvPicPr>
        <xdr:cNvPr id="8282" name="Grafik 3">
          <a:extLst>
            <a:ext uri="{FF2B5EF4-FFF2-40B4-BE49-F238E27FC236}">
              <a16:creationId xmlns:a16="http://schemas.microsoft.com/office/drawing/2014/main" id="{5A54532D-EF20-4572-990F-49F12801F5E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3825"/>
          <a:ext cx="4762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0</xdr:row>
      <xdr:rowOff>123825</xdr:rowOff>
    </xdr:from>
    <xdr:to>
      <xdr:col>1</xdr:col>
      <xdr:colOff>457200</xdr:colOff>
      <xdr:row>3</xdr:row>
      <xdr:rowOff>47625</xdr:rowOff>
    </xdr:to>
    <xdr:pic>
      <xdr:nvPicPr>
        <xdr:cNvPr id="9305" name="Grafik 3">
          <a:extLst>
            <a:ext uri="{FF2B5EF4-FFF2-40B4-BE49-F238E27FC236}">
              <a16:creationId xmlns:a16="http://schemas.microsoft.com/office/drawing/2014/main" id="{6E8BD266-6384-493B-85CA-F60FC4373D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23825"/>
          <a:ext cx="5048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38100</xdr:colOff>
      <xdr:row>3</xdr:row>
      <xdr:rowOff>95250</xdr:rowOff>
    </xdr:from>
    <xdr:to>
      <xdr:col>5</xdr:col>
      <xdr:colOff>977900</xdr:colOff>
      <xdr:row>15</xdr:row>
      <xdr:rowOff>1003300</xdr:rowOff>
    </xdr:to>
    <xdr:graphicFrame macro="">
      <xdr:nvGraphicFramePr>
        <xdr:cNvPr id="9306" name="Diagramm 2">
          <a:extLst>
            <a:ext uri="{FF2B5EF4-FFF2-40B4-BE49-F238E27FC236}">
              <a16:creationId xmlns:a16="http://schemas.microsoft.com/office/drawing/2014/main" id="{9DCB01A9-78E4-484D-80CC-9E060F14C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5667375</xdr:colOff>
      <xdr:row>0</xdr:row>
      <xdr:rowOff>152400</xdr:rowOff>
    </xdr:from>
    <xdr:to>
      <xdr:col>2</xdr:col>
      <xdr:colOff>5676900</xdr:colOff>
      <xdr:row>1</xdr:row>
      <xdr:rowOff>152400</xdr:rowOff>
    </xdr:to>
    <xdr:pic>
      <xdr:nvPicPr>
        <xdr:cNvPr id="10285" name="Grafik 3">
          <a:extLst>
            <a:ext uri="{FF2B5EF4-FFF2-40B4-BE49-F238E27FC236}">
              <a16:creationId xmlns:a16="http://schemas.microsoft.com/office/drawing/2014/main" id="{8490B4D7-3507-425D-A341-57203B19E4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2425" y="152400"/>
          <a:ext cx="95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hyperlink" Target="http://data.worldbank.org/indicator/NY.GDP.MKTP.PP.CD"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8" Type="http://schemas.openxmlformats.org/officeDocument/2006/relationships/hyperlink" Target="mailto:christian.loy@gmx.at" TargetMode="External"/><Relationship Id="rId3" Type="http://schemas.openxmlformats.org/officeDocument/2006/relationships/hyperlink" Target="mailto:audit@febc.eu" TargetMode="External"/><Relationship Id="rId7" Type="http://schemas.openxmlformats.org/officeDocument/2006/relationships/hyperlink" Target="mailto:christian.loy@gmx.at" TargetMode="External"/><Relationship Id="rId2" Type="http://schemas.openxmlformats.org/officeDocument/2006/relationships/hyperlink" Target="mailto:nodo-empresas@economia-del-bien-comun.es" TargetMode="External"/><Relationship Id="rId1" Type="http://schemas.openxmlformats.org/officeDocument/2006/relationships/hyperlink" Target="mailto:info@economia-del-ben-comune.it" TargetMode="External"/><Relationship Id="rId6" Type="http://schemas.openxmlformats.org/officeDocument/2006/relationships/hyperlink" Target="mailto:bilanz@ecogood.org" TargetMode="External"/><Relationship Id="rId5" Type="http://schemas.openxmlformats.org/officeDocument/2006/relationships/hyperlink" Target="mailto:bilanz@ecogood.org" TargetMode="External"/><Relationship Id="rId10" Type="http://schemas.openxmlformats.org/officeDocument/2006/relationships/printerSettings" Target="../printerSettings/printerSettings5.bin"/><Relationship Id="rId4" Type="http://schemas.openxmlformats.org/officeDocument/2006/relationships/hyperlink" Target="mailto:nodo-empresas@economia-del-bien-comun.es" TargetMode="External"/><Relationship Id="rId9" Type="http://schemas.openxmlformats.org/officeDocument/2006/relationships/hyperlink" Target="mailto:christian.loy@gmx.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M41"/>
  <sheetViews>
    <sheetView showGridLines="0" tabSelected="1" zoomScale="136" zoomScaleNormal="136" workbookViewId="0">
      <selection activeCell="B1" sqref="B1:C1"/>
    </sheetView>
  </sheetViews>
  <sheetFormatPr baseColWidth="10" defaultColWidth="10.7109375" defaultRowHeight="12.75" customHeight="1"/>
  <cols>
    <col min="1" max="1" width="2.7109375" style="1" customWidth="1"/>
    <col min="2" max="2" width="11" style="1" customWidth="1"/>
    <col min="3" max="3" width="17.85546875" style="1" customWidth="1"/>
    <col min="4" max="4" width="66.85546875" style="1" customWidth="1"/>
    <col min="5" max="12" width="10.7109375" style="1"/>
    <col min="13" max="13" width="0" style="1" hidden="1" customWidth="1"/>
    <col min="14" max="16384" width="10.7109375" style="1"/>
  </cols>
  <sheetData>
    <row r="1" spans="1:13" ht="29.25" customHeight="1">
      <c r="A1" s="2"/>
      <c r="B1" s="535" t="s">
        <v>687</v>
      </c>
      <c r="C1" s="536"/>
      <c r="D1"/>
    </row>
    <row r="2" spans="1:13" ht="41.25" customHeight="1">
      <c r="A2" s="2"/>
      <c r="B2" s="537" t="str">
        <f>'12.lan'!D4</f>
        <v>GEMEINWOHL-RECHNER</v>
      </c>
      <c r="C2" s="537"/>
      <c r="D2" s="537"/>
      <c r="M2" s="1" t="str">
        <f>IF('12.lan'!B2="","",'12.lan'!B2)</f>
        <v>Select your language</v>
      </c>
    </row>
    <row r="3" spans="1:13" ht="12.75" customHeight="1">
      <c r="A3" s="2"/>
      <c r="B3" s="3" t="str">
        <f>'12.lan'!D6</f>
        <v>Version</v>
      </c>
      <c r="C3" s="4" t="s">
        <v>0</v>
      </c>
      <c r="M3" s="1" t="str">
        <f>IF('12.lan'!B3="","",'12.lan'!B3)</f>
        <v>Deutsch</v>
      </c>
    </row>
    <row r="4" spans="1:13" ht="14.25" customHeight="1">
      <c r="A4" s="2"/>
      <c r="B4" s="2"/>
      <c r="C4" s="2"/>
      <c r="D4" s="2"/>
      <c r="M4" s="1" t="str">
        <f>IF('12.lan'!B4="","",'12.lan'!B4)</f>
        <v>Italiano</v>
      </c>
    </row>
    <row r="5" spans="1:13" ht="18.75" customHeight="1">
      <c r="A5" s="2"/>
      <c r="B5" s="538" t="str">
        <f>'12.lan'!D7</f>
        <v>HERZLICH WILLKOMMEN!</v>
      </c>
      <c r="C5" s="538"/>
      <c r="D5" s="538"/>
      <c r="M5" s="1" t="str">
        <f>IF('12.lan'!B5="","",'12.lan'!B5)</f>
        <v>English</v>
      </c>
    </row>
    <row r="6" spans="1:13" ht="47.25" customHeight="1">
      <c r="A6" s="2"/>
      <c r="B6" s="539" t="str">
        <f>'12.lan'!D8</f>
        <v>Dieses Tool dient zur Berechnung der Gemeinwohl-Punkte Ihres Unternehmens. Es ist eine Ergänzung zum Gemeinwohlbericht und muss gemeinsam mit diesem genutzt werden.  Wir wünschen gutes Gelingen!</v>
      </c>
      <c r="C6" s="539"/>
      <c r="D6" s="539"/>
      <c r="M6" s="1" t="str">
        <f>IF('12.lan'!B6="","",'12.lan'!B6)</f>
        <v>Español</v>
      </c>
    </row>
    <row r="7" spans="1:13" ht="24" customHeight="1">
      <c r="A7" s="2"/>
      <c r="B7" s="2"/>
      <c r="C7" s="2"/>
      <c r="D7" s="2"/>
      <c r="M7" s="1" t="str">
        <f>IF('12.lan'!B7="","",'12.lan'!B7)</f>
        <v>Francais</v>
      </c>
    </row>
    <row r="8" spans="1:13" ht="18.75" customHeight="1">
      <c r="A8" s="2"/>
      <c r="B8" s="538" t="str">
        <f>'12.lan'!D9</f>
        <v>WIE SIE DEN BILANZ-RECHNER RICHTIG VERWENDEN:</v>
      </c>
      <c r="C8" s="538"/>
      <c r="D8" s="538"/>
      <c r="M8" s="1" t="str">
        <f>IF('12.lan'!B8="","",'12.lan'!B8)</f>
        <v>Portugues</v>
      </c>
    </row>
    <row r="9" spans="1:13" ht="29.25" customHeight="1">
      <c r="A9" s="2"/>
      <c r="B9" s="540" t="str">
        <f>'12.lan'!D10</f>
        <v>1. Allgemeines</v>
      </c>
      <c r="C9" s="540"/>
      <c r="D9" s="5" t="str">
        <f>'12.lan'!D11</f>
        <v>Hier können Sie allgemeinen Angaben zu Ihrem Unternehmen machen.</v>
      </c>
      <c r="M9" s="1" t="str">
        <f>IF('12.lan'!B9="","",'12.lan'!B9)</f>
        <v>Griechisch</v>
      </c>
    </row>
    <row r="10" spans="1:13" ht="37.5" customHeight="1">
      <c r="A10" s="2"/>
      <c r="B10" s="541" t="str">
        <f>'12.lan'!D28</f>
        <v>2. Fakten zum Unternehmen</v>
      </c>
      <c r="C10" s="541"/>
      <c r="D10" s="5" t="str">
        <f>'12.lan'!D12</f>
        <v xml:space="preserve">Hier müssen alle geforderten Kenngrößen eingetragen werden, da diese für die Gewichtung der Themen essentiell sind. </v>
      </c>
      <c r="M10" s="1" t="str">
        <f>IF('12.lan'!B10="","",'12.lan'!B10)</f>
        <v/>
      </c>
    </row>
    <row r="11" spans="1:13" ht="48" customHeight="1">
      <c r="A11" s="2"/>
      <c r="B11" s="541" t="str">
        <f>'12.lan'!D29</f>
        <v>3. Berechnung</v>
      </c>
      <c r="C11" s="541"/>
      <c r="D11" s="5" t="str">
        <f>'12.lan'!D13</f>
        <v>Für jedes Thema (A1, B1, ...) kann eine bestimmte Anzahl an Gemeinwohl-Punkten erreicht werden. Um zu ermitteln, wie viele davon Ihr Unternehmen erhält, gehen Sie wie folgt vor:</v>
      </c>
      <c r="M11" s="1" t="str">
        <f>IF('12.lan'!B11="","",'12.lan'!B11)</f>
        <v/>
      </c>
    </row>
    <row r="12" spans="1:13" ht="59.25" customHeight="1">
      <c r="A12" s="2"/>
      <c r="B12" s="542" t="s">
        <v>1</v>
      </c>
      <c r="C12" s="542"/>
      <c r="D12" s="5" t="str">
        <f>'12.lan'!D14</f>
        <v>Beschreiben Sie auf Basis des Arbeitsbuchs in wenigen Stichworten Ist-Zustand und Verbesserungspotenzial für die verschiedenen Aspekte (optional, ist für die Berechnung nicht unbedingt notwendig).</v>
      </c>
      <c r="M12" s="1" t="str">
        <f>IF('12.lan'!B12="","",'12.lan'!B12)</f>
        <v/>
      </c>
    </row>
    <row r="13" spans="1:13" ht="61.5" customHeight="1">
      <c r="A13" s="2"/>
      <c r="B13" s="542" t="s">
        <v>2</v>
      </c>
      <c r="C13" s="542"/>
      <c r="D13" s="5" t="str">
        <f>'12.lan'!D15</f>
        <v>Geben Sie - aufbauend auf diesen Beschreibungen - an, entsprechend welchem Skalenwert (0-10) Ihrer Meinung nach der jeweilige Aspekt erfüllt ist (Spalte "Erfüllungsgrad"). Anhaltspunkte zur Wahl des "richtigen" Skalenwerts finden Sie wiederum im Arbeitsbuch.</v>
      </c>
    </row>
    <row r="14" spans="1:13" ht="33" customHeight="1">
      <c r="A14" s="2"/>
      <c r="B14" s="542" t="s">
        <v>3</v>
      </c>
      <c r="C14" s="542"/>
      <c r="D14" s="5" t="str">
        <f>'12.lan'!D16</f>
        <v xml:space="preserve">Für die Bewertung der Negativaspekte geben Sie Punktewerte entsprechend der Beschreibungen im Arbeitsbuch an. </v>
      </c>
    </row>
    <row r="15" spans="1:13" ht="100.5" customHeight="1">
      <c r="A15" s="2"/>
      <c r="B15" s="542" t="s">
        <v>4</v>
      </c>
      <c r="C15" s="542"/>
      <c r="D15" s="6" t="str">
        <f>'12.lan'!D17</f>
        <v>Sie können, wenn es für ihr Unternehmen notwendig erscheint, in Abstimmung mit der AuditorIn die relativen Gewichtungen der einzelnen Aspekte (A1.1, A1.2, ...) verändern. In der Spalte "Gewichtung" ("Gew.") können Sie für jeden Aspekt Werte auswählen. Die Verteilung der möglichen Punkte auf die einzelnen Aspekte wird dann automatisch angepasst, sodass die Summe aller Aspekte eines Themas immer 100% ergibt.</v>
      </c>
    </row>
    <row r="16" spans="1:13" ht="48" customHeight="1">
      <c r="A16" s="2"/>
      <c r="B16" s="542" t="s">
        <v>5</v>
      </c>
      <c r="C16" s="542"/>
      <c r="D16" s="5" t="str">
        <f>'12.lan'!D18</f>
        <v>Bei der Berechnung werden die Gesamtwerte pro Thema automatisch entsprechend der Angaben im Faktenblatt gewichtet und auf ganzzahlige Vielfache von 10% gerundet.</v>
      </c>
    </row>
    <row r="17" spans="1:4" ht="18.75" customHeight="1">
      <c r="A17" s="2"/>
      <c r="B17" s="541" t="str">
        <f>'12.lan'!D30</f>
        <v>4. GW-Matrix</v>
      </c>
      <c r="C17" s="541"/>
      <c r="D17" s="5" t="str">
        <f>'12.lan'!D19</f>
        <v>Die "GW-Matrix" bietet einen tabellarischen Überblick über Ihr Ergebnis.</v>
      </c>
    </row>
    <row r="18" spans="1:4" ht="32.25" customHeight="1">
      <c r="A18" s="2"/>
      <c r="B18" s="541" t="str">
        <f>'12.lan'!D31</f>
        <v>5. Werte-Stern</v>
      </c>
      <c r="C18" s="541"/>
      <c r="D18" s="5" t="str">
        <f>'12.lan'!D21</f>
        <v>Der "Werte-Stern" zeigt schließlich Ihr Ergebnis nach Werten gegliedert in graphischer Form.</v>
      </c>
    </row>
    <row r="19" spans="1:4" ht="32.25" customHeight="1">
      <c r="A19" s="2"/>
      <c r="B19" s="541" t="str">
        <f>'12.lan'!D32</f>
        <v>6. Gruppen-Stern</v>
      </c>
      <c r="C19" s="541"/>
      <c r="D19" s="5" t="str">
        <f>'12.lan'!D22</f>
        <v>Der "Gruppen-Stern" zeigt schließlich Ihr Ergebnis nach Berührungsgruppen gegliedert in graphischer Form.</v>
      </c>
    </row>
    <row r="20" spans="1:4" ht="28.5" customHeight="1">
      <c r="A20" s="2"/>
      <c r="B20" s="541" t="str">
        <f>'12.lan'!D33</f>
        <v>7. Themen-Stern</v>
      </c>
      <c r="C20" s="541"/>
      <c r="D20" s="6" t="str">
        <f>'12.lan'!D23</f>
        <v>Der "Themen-Stern" zeigt schließlich Ihr Ergebnis in allen Themen in graphischer Form.</v>
      </c>
    </row>
    <row r="21" spans="1:4" ht="30" customHeight="1">
      <c r="A21" s="2"/>
      <c r="B21" s="543" t="str">
        <f>'12.lan'!D34</f>
        <v>8. Beschreibung Gewichtungsmodell</v>
      </c>
      <c r="C21" s="543"/>
      <c r="D21" s="6" t="str">
        <f>'12.lan'!D24</f>
        <v xml:space="preserve">Hier finden Sie eine Beschreibung der Gewichtungsmodelles. </v>
      </c>
    </row>
    <row r="22" spans="1:4" ht="41.25" customHeight="1">
      <c r="A22" s="2"/>
      <c r="B22" s="541" t="str">
        <f>'12.lan'!D35</f>
        <v>9. Gewichtung (ausgeblendet)</v>
      </c>
      <c r="C22" s="541"/>
      <c r="D22" s="6" t="str">
        <f>'12.lan'!D25</f>
        <v>Hier erfolgt die Berechnung wie die einzelnen Berührungsgruppen und Themen gewichtet werden.</v>
      </c>
    </row>
    <row r="23" spans="1:4" ht="43.5" customHeight="1">
      <c r="A23" s="2"/>
      <c r="B23" s="541" t="str">
        <f>'12.lan'!D36</f>
        <v>10. Branchen (ausgeblendet)</v>
      </c>
      <c r="C23" s="541"/>
      <c r="D23" s="6" t="str">
        <f>'12.lan'!D26</f>
        <v xml:space="preserve">Enthält Einschätzungen der Relevanz von Zulieferkette und ökologische Nachhaltigkeit für alle Branchen,, die für die Gewichtung herangezogen werden. </v>
      </c>
    </row>
    <row r="24" spans="1:4" ht="35.25" customHeight="1">
      <c r="A24" s="2"/>
      <c r="B24" s="543" t="str">
        <f>'12.lan'!D37</f>
        <v>11. Länder und Regionen (ausgeblendet)</v>
      </c>
      <c r="C24" s="543"/>
      <c r="D24" s="6" t="str">
        <f>'12.lan'!D27</f>
        <v xml:space="preserve">Enthält Statistiken für Länder und Regionen, die für die Gewichtung herangezogen werden. </v>
      </c>
    </row>
    <row r="25" spans="1:4" ht="15" customHeight="1">
      <c r="A25" s="2"/>
      <c r="B25" s="7"/>
      <c r="C25" s="7"/>
      <c r="D25" s="8"/>
    </row>
    <row r="26" spans="1:4" ht="12.75" customHeight="1">
      <c r="A26" s="2"/>
      <c r="B26" s="538" t="str">
        <f>'12.lan'!D40</f>
        <v>LEGENDE</v>
      </c>
      <c r="C26" s="538"/>
      <c r="D26" s="538"/>
    </row>
    <row r="27" spans="1:4" ht="19.5" customHeight="1">
      <c r="A27" s="2"/>
      <c r="B27" s="544" t="str">
        <f>'12.lan'!D41</f>
        <v>Feld ist beschreibbar (grüner Rahmen, dunkelgrüne Schrift)</v>
      </c>
      <c r="C27" s="544"/>
      <c r="D27" s="544"/>
    </row>
    <row r="28" spans="1:4" ht="1.5" customHeight="1">
      <c r="A28" s="2"/>
      <c r="B28" s="9"/>
      <c r="C28" s="9"/>
      <c r="D28" s="10"/>
    </row>
    <row r="29" spans="1:4" ht="19.5" customHeight="1">
      <c r="A29" s="2"/>
      <c r="B29" s="545" t="str">
        <f>'12.lan'!D42</f>
        <v>Feld ist nicht beschreibbar (grauer Rahmen, dunkelgraue Schrift)</v>
      </c>
      <c r="C29" s="545"/>
      <c r="D29" s="545"/>
    </row>
    <row r="30" spans="1:4" ht="1.5" customHeight="1">
      <c r="A30" s="2"/>
      <c r="B30" s="9"/>
      <c r="C30" s="9"/>
      <c r="D30" s="10"/>
    </row>
    <row r="31" spans="1:4" ht="19.5" customHeight="1">
      <c r="A31" s="2"/>
      <c r="B31" s="546" t="str">
        <f>'12.lan'!D43</f>
        <v>unerlaubter Wert eingegeben (zur korrekten Berechnung Wert ändern)</v>
      </c>
      <c r="C31" s="546"/>
      <c r="D31" s="546"/>
    </row>
    <row r="32" spans="1:4" ht="12.75" customHeight="1">
      <c r="A32" s="2"/>
      <c r="B32" s="2"/>
      <c r="C32" s="2"/>
      <c r="D32" s="2"/>
    </row>
    <row r="33" spans="1:4" ht="12.75" customHeight="1">
      <c r="A33" s="2"/>
      <c r="B33" s="538" t="str">
        <f>'12.lan'!D54</f>
        <v>KONTAKT</v>
      </c>
      <c r="C33" s="538"/>
      <c r="D33" s="538"/>
    </row>
    <row r="34" spans="1:4" ht="12.75" customHeight="1">
      <c r="A34" s="2"/>
      <c r="B34" s="548" t="str">
        <f>'12.lan'!D55</f>
        <v>Fragen zur Bilanz-Erstellung: beratung@gemeinwohl-oekonomie.org (GWÖ-BeraterInnen);</v>
      </c>
      <c r="C34" s="548"/>
      <c r="D34" s="548"/>
    </row>
    <row r="35" spans="1:4" ht="12.75" customHeight="1">
      <c r="A35" s="2"/>
      <c r="B35" s="548" t="str">
        <f>'12.lan'!D56</f>
        <v>Fragen zur Auditierung: audit@gemeinwohl-oekonomie.org (GWÖ-AuditorInnen);</v>
      </c>
      <c r="C35" s="548"/>
      <c r="D35" s="548"/>
    </row>
    <row r="36" spans="1:4" ht="12.75" customHeight="1">
      <c r="A36" s="2"/>
      <c r="B36" s="549" t="str">
        <f>'12.lan'!D57</f>
        <v>Weiterentwicklung der Matrix: bilanz@ecogood.org (GWÖ-Matrix Entwicklungsteam);</v>
      </c>
      <c r="C36" s="549"/>
      <c r="D36" s="549"/>
    </row>
    <row r="37" spans="1:4" ht="51" customHeight="1">
      <c r="A37" s="2"/>
      <c r="B37" s="550" t="str">
        <f>'12.lan'!D58</f>
        <v>Excel-Programmierung: Christian Loy (christian.loy@gmx.at); Christian Kozina; Multilanguage-tool: Bernhard Oberrauch</v>
      </c>
      <c r="C37" s="550"/>
      <c r="D37" s="550"/>
    </row>
    <row r="38" spans="1:4" ht="30" customHeight="1">
      <c r="A38" s="2"/>
      <c r="B38" s="551" t="str">
        <f>'12.lan'!D59</f>
        <v>Inhalte: GWÖ-Matrix Entwicklungsteam</v>
      </c>
      <c r="C38" s="551"/>
      <c r="D38" s="551"/>
    </row>
    <row r="39" spans="1:4" ht="12.75" customHeight="1">
      <c r="A39" s="2"/>
      <c r="B39" s="2"/>
      <c r="C39" s="2"/>
      <c r="D39" s="2"/>
    </row>
    <row r="40" spans="1:4" ht="12.75" customHeight="1">
      <c r="A40" s="2"/>
      <c r="B40" s="538" t="str">
        <f>'12.lan'!D60</f>
        <v>ANMERKUNGEN</v>
      </c>
      <c r="C40" s="538"/>
      <c r="D40" s="538"/>
    </row>
    <row r="41" spans="1:4" ht="28.5" customHeight="1">
      <c r="B41" s="547" t="str">
        <f>'12.lan'!D61</f>
        <v>Alle Tabellen sind optimiert für den Ausdruck auf A4 (Hoch- oder Querformat).
Die Höhe der Zeilen ist veränderbar, falls Sie mehr Text eingeben wollen.</v>
      </c>
      <c r="C41" s="547"/>
      <c r="D41" s="547"/>
    </row>
  </sheetData>
  <sheetProtection algorithmName="SHA-512" hashValue="j7OFm/cIxZhgmecB0gV9zh2qsb5dcmkGenM8yQv4waEDKYMWEAba/Hb19zKbxo8KWeQX+6cqfh5bKyoJ3s3xag==" saltValue="ODYkN76PiDm8DkxMrom09g==" spinCount="100000" sheet="1"/>
  <mergeCells count="33">
    <mergeCell ref="B40:D40"/>
    <mergeCell ref="B41:D41"/>
    <mergeCell ref="B33:D33"/>
    <mergeCell ref="B34:D34"/>
    <mergeCell ref="B35:D35"/>
    <mergeCell ref="B36:D36"/>
    <mergeCell ref="B37:D37"/>
    <mergeCell ref="B38:D38"/>
    <mergeCell ref="B24:C24"/>
    <mergeCell ref="B26:D26"/>
    <mergeCell ref="B27:D27"/>
    <mergeCell ref="B29:D29"/>
    <mergeCell ref="B31:D31"/>
    <mergeCell ref="B19:C19"/>
    <mergeCell ref="B20:C20"/>
    <mergeCell ref="B21:C21"/>
    <mergeCell ref="B22:C22"/>
    <mergeCell ref="B23:C23"/>
    <mergeCell ref="B14:C14"/>
    <mergeCell ref="B15:C15"/>
    <mergeCell ref="B16:C16"/>
    <mergeCell ref="B17:C17"/>
    <mergeCell ref="B18:C18"/>
    <mergeCell ref="B9:C9"/>
    <mergeCell ref="B10:C10"/>
    <mergeCell ref="B11:C11"/>
    <mergeCell ref="B12:C12"/>
    <mergeCell ref="B13:C13"/>
    <mergeCell ref="B1:C1"/>
    <mergeCell ref="B2:D2"/>
    <mergeCell ref="B5:D5"/>
    <mergeCell ref="B6:D6"/>
    <mergeCell ref="B8:D8"/>
  </mergeCells>
  <dataValidations count="1">
    <dataValidation type="list" allowBlank="1" showInputMessage="1" showErrorMessage="1" sqref="B1:C1" xr:uid="{00000000-0002-0000-0000-000000000000}">
      <formula1>$M$2:$M$12</formula1>
    </dataValidation>
  </dataValidations>
  <pageMargins left="0.52013888888888893" right="0.59027777777777779" top="0.78749999999999998" bottom="0.78749999999999998" header="0.51180555555555551" footer="0.51180555555555551"/>
  <pageSetup paperSize="9"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C25"/>
  <sheetViews>
    <sheetView showGridLines="0" zoomScale="75" zoomScaleNormal="75" workbookViewId="0">
      <selection activeCell="H10" sqref="H10"/>
    </sheetView>
  </sheetViews>
  <sheetFormatPr baseColWidth="10" defaultColWidth="10.7109375" defaultRowHeight="12.75" customHeight="1"/>
  <cols>
    <col min="1" max="1" width="2.7109375" style="11" customWidth="1"/>
    <col min="2" max="2" width="29.28515625" style="11" customWidth="1"/>
    <col min="3" max="3" width="54.85546875" style="12" customWidth="1"/>
    <col min="4" max="16384" width="10.7109375" style="11"/>
  </cols>
  <sheetData>
    <row r="1" spans="1:3" ht="12.75" customHeight="1">
      <c r="A1" s="13"/>
      <c r="B1" s="14"/>
      <c r="C1" s="15"/>
    </row>
    <row r="2" spans="1:3" ht="12.75" customHeight="1">
      <c r="A2" s="13"/>
      <c r="B2" s="552" t="str">
        <f>'12.lan'!D91&amp;" - "&amp;'0. Intro'!B3&amp;" "&amp;'0. Intro'!C3</f>
        <v>Gemeinwohl-Bilanz-Rechner - Version 5.02</v>
      </c>
      <c r="C2" s="552"/>
    </row>
    <row r="3" spans="1:3" ht="18" customHeight="1">
      <c r="A3" s="13"/>
      <c r="B3" s="553" t="str">
        <f>'12.lan'!D62</f>
        <v>ALLGEMEINE ANGABEN ZUM UNTERNEHMEN</v>
      </c>
      <c r="C3" s="553"/>
    </row>
    <row r="4" spans="1:3" ht="22.5" customHeight="1">
      <c r="A4" s="13"/>
      <c r="B4" s="17" t="str">
        <f>'12.lan'!D63</f>
        <v>Bitte vollständig ausfüllen!</v>
      </c>
      <c r="C4" s="18"/>
    </row>
    <row r="5" spans="1:3" ht="12.75" customHeight="1">
      <c r="A5" s="13"/>
      <c r="B5" s="14"/>
      <c r="C5" s="15"/>
    </row>
    <row r="6" spans="1:3" ht="19.5" customHeight="1">
      <c r="A6" s="13"/>
      <c r="B6" s="19" t="str">
        <f>'12.lan'!D64</f>
        <v>Name des Unternehmens:</v>
      </c>
      <c r="C6" s="20"/>
    </row>
    <row r="7" spans="1:3" ht="19.5" customHeight="1">
      <c r="A7" s="13"/>
      <c r="B7" s="21" t="str">
        <f>'12.lan'!D65</f>
        <v>Anschrift:</v>
      </c>
      <c r="C7" s="20"/>
    </row>
    <row r="8" spans="1:3" ht="19.5" customHeight="1">
      <c r="A8" s="13"/>
      <c r="B8" s="21" t="str">
        <f>'12.lan'!D66</f>
        <v>Staat:</v>
      </c>
      <c r="C8" s="20"/>
    </row>
    <row r="9" spans="1:3" ht="19.5" customHeight="1">
      <c r="A9" s="13"/>
      <c r="B9" s="21" t="str">
        <f>'12.lan'!D67</f>
        <v>Branche:</v>
      </c>
      <c r="C9" s="20"/>
    </row>
    <row r="10" spans="1:3" ht="19.5" customHeight="1">
      <c r="A10" s="13"/>
      <c r="B10" s="21" t="str">
        <f>'12.lan'!D68</f>
        <v>Website:</v>
      </c>
      <c r="C10" s="441"/>
    </row>
    <row r="11" spans="1:3" ht="9.75" customHeight="1">
      <c r="A11" s="13"/>
      <c r="B11" s="22"/>
      <c r="C11" s="23"/>
    </row>
    <row r="12" spans="1:3" ht="19.5" customHeight="1">
      <c r="A12" s="13"/>
      <c r="B12" s="21" t="str">
        <f>'12.lan'!D83</f>
        <v>Bilanz-Jahr</v>
      </c>
      <c r="C12" s="20"/>
    </row>
    <row r="13" spans="1:3" ht="9.75" customHeight="1">
      <c r="A13" s="13"/>
      <c r="B13" s="24"/>
      <c r="C13" s="25"/>
    </row>
    <row r="14" spans="1:3" ht="19.5" customHeight="1">
      <c r="A14" s="13"/>
      <c r="B14" s="19" t="str">
        <f>'12.lan'!D73</f>
        <v>ErstellerIn:</v>
      </c>
      <c r="C14" s="20"/>
    </row>
    <row r="15" spans="1:3" ht="19.5" customHeight="1">
      <c r="A15" s="13"/>
      <c r="B15" s="21" t="str">
        <f>'12.lan'!D74</f>
        <v>E-Mail-Adresse:</v>
      </c>
      <c r="C15" s="20"/>
    </row>
    <row r="16" spans="1:3" ht="19.5" customHeight="1">
      <c r="A16" s="13"/>
      <c r="B16" s="21" t="str">
        <f>'12.lan'!D75</f>
        <v>Telefonnummer:</v>
      </c>
      <c r="C16" s="20"/>
    </row>
    <row r="17" spans="1:3" ht="9.75" customHeight="1">
      <c r="A17" s="13"/>
      <c r="B17" s="24"/>
      <c r="C17" s="26"/>
    </row>
    <row r="18" spans="1:3" ht="19.5" customHeight="1">
      <c r="A18" s="13"/>
      <c r="B18" s="19" t="str">
        <f>'12.lan'!D76</f>
        <v>BeraterIn:</v>
      </c>
      <c r="C18" s="20"/>
    </row>
    <row r="19" spans="1:3" ht="19.5" customHeight="1">
      <c r="A19" s="13"/>
      <c r="B19" s="21" t="str">
        <f>'12.lan'!D74</f>
        <v>E-Mail-Adresse:</v>
      </c>
      <c r="C19" s="20"/>
    </row>
    <row r="20" spans="1:3" ht="19.5" customHeight="1">
      <c r="A20" s="13"/>
      <c r="B20" s="21" t="str">
        <f>'12.lan'!D75</f>
        <v>Telefonnummer:</v>
      </c>
      <c r="C20" s="20"/>
    </row>
    <row r="21" spans="1:3" ht="9.75" customHeight="1">
      <c r="A21" s="13"/>
      <c r="B21" s="24"/>
      <c r="C21" s="26"/>
    </row>
    <row r="22" spans="1:3" ht="64.5" customHeight="1">
      <c r="A22" s="13"/>
      <c r="B22" s="27" t="str">
        <f>'12.lan'!D79</f>
        <v>Kurzbeschreibung
des Unternehmens:</v>
      </c>
      <c r="C22" s="20"/>
    </row>
    <row r="23" spans="1:3" ht="9.75" customHeight="1">
      <c r="A23" s="13"/>
      <c r="B23" s="28"/>
      <c r="C23" s="29"/>
    </row>
    <row r="24" spans="1:3" ht="64.5" customHeight="1">
      <c r="B24" s="30" t="str">
        <f>'12.lan'!D80</f>
        <v>Sonstige Anmerkungen:</v>
      </c>
      <c r="C24" s="20"/>
    </row>
    <row r="25" spans="1:3" ht="120.75" customHeight="1">
      <c r="A25" s="13"/>
      <c r="B25" s="13"/>
      <c r="C25" s="15"/>
    </row>
  </sheetData>
  <sheetProtection password="F532" sheet="1"/>
  <mergeCells count="2">
    <mergeCell ref="B2:C2"/>
    <mergeCell ref="B3:C3"/>
  </mergeCells>
  <pageMargins left="0.55972222222222223" right="0.7" top="0.6" bottom="0.78749999999999998"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M48"/>
  <sheetViews>
    <sheetView showGridLines="0" topLeftCell="A27" zoomScale="75" zoomScaleNormal="75" workbookViewId="0">
      <selection activeCell="E27" sqref="E27"/>
    </sheetView>
  </sheetViews>
  <sheetFormatPr baseColWidth="10" defaultColWidth="10.7109375" defaultRowHeight="12.75" customHeight="1"/>
  <cols>
    <col min="1" max="1" width="2.7109375" style="1" customWidth="1"/>
    <col min="2" max="2" width="58.28515625" style="1" customWidth="1"/>
    <col min="3" max="3" width="41" style="31" customWidth="1"/>
    <col min="4" max="4" width="25" style="1" customWidth="1"/>
    <col min="5" max="5" width="29.28515625" style="1" customWidth="1"/>
    <col min="6" max="6" width="19.28515625" style="1" customWidth="1"/>
    <col min="7" max="12" width="10.7109375" style="1"/>
    <col min="13" max="13" width="0" style="1" hidden="1" customWidth="1"/>
    <col min="14" max="16384" width="10.7109375" style="1"/>
  </cols>
  <sheetData>
    <row r="1" spans="1:13" ht="12.75" customHeight="1">
      <c r="A1" s="2"/>
      <c r="B1" s="32"/>
      <c r="C1" s="33"/>
    </row>
    <row r="2" spans="1:13" ht="12.75" customHeight="1">
      <c r="A2" s="2"/>
      <c r="B2" s="548" t="str">
        <f>'12.lan'!D91&amp;" - "&amp;'0. Intro'!B3&amp;" "&amp;'0. Intro'!C3</f>
        <v>Gemeinwohl-Bilanz-Rechner - Version 5.02</v>
      </c>
      <c r="C2" s="548"/>
      <c r="M2" s="1" t="str">
        <f>'12.lan'!D52</f>
        <v>ja</v>
      </c>
    </row>
    <row r="3" spans="1:13" ht="18" customHeight="1">
      <c r="A3" s="2"/>
      <c r="B3" s="554" t="str">
        <f>'12.lan'!D194</f>
        <v>Fakten zum Unternehmen</v>
      </c>
      <c r="C3" s="554"/>
      <c r="M3" s="1" t="str">
        <f>'12.lan'!D53</f>
        <v>nein</v>
      </c>
    </row>
    <row r="4" spans="1:13" ht="73.5" customHeight="1">
      <c r="A4" s="2"/>
      <c r="B4" s="555" t="str">
        <f>'12.lan'!D195</f>
        <v xml:space="preserve">Bitte füllen Sie die farblich markierten Felder mit Daten für den Bilanzierungszeitraum, meist das Geschäftsjahr, aus. Falls der Bilanzierungszeitraum länger als 1 Jahr ist können Sie auch ein Geschäftsjahr aus dem Bilanzierungszeitraum auswählen. Sollten dennoch keine konkreten Daten vorliegen bitte um grobe Schätzungen, da die Berechnung sonst fehlerhaft ist. </v>
      </c>
      <c r="C4" s="555"/>
    </row>
    <row r="5" spans="1:13" ht="12.75" customHeight="1">
      <c r="A5" s="2"/>
      <c r="B5" s="32"/>
      <c r="C5" s="33"/>
    </row>
    <row r="6" spans="1:13" ht="19.5" customHeight="1">
      <c r="A6" s="2"/>
      <c r="B6" s="34" t="str">
        <f>'12.lan'!B108</f>
        <v>A: Lieferant*innen</v>
      </c>
      <c r="C6" s="35"/>
      <c r="D6" s="35"/>
      <c r="E6" s="35"/>
      <c r="F6" s="35"/>
    </row>
    <row r="7" spans="1:13" ht="19.5" customHeight="1">
      <c r="A7" s="2"/>
      <c r="B7" s="36" t="str">
        <f>'12.lan'!D297</f>
        <v>Gesamt-Ausgaben an Lieferanten (in Euro):</v>
      </c>
      <c r="C7" s="37"/>
      <c r="D7" s="442" t="str">
        <f>IF(SUM(F10:F14)&gt;C7,'12.lan'!D44,"")</f>
        <v/>
      </c>
      <c r="E7" s="38"/>
      <c r="F7" s="39"/>
    </row>
    <row r="8" spans="1:13" ht="19.5" customHeight="1">
      <c r="A8" s="2"/>
      <c r="B8" s="36" t="str">
        <f>'12.lan'!D298</f>
        <v xml:space="preserve">Tragen Sie nachstehend, bitte die 5 wichtigstenBranchen ein, aus denen Sie Produkte/Dienstleistungen beziehen. </v>
      </c>
      <c r="C8" s="35"/>
      <c r="D8" s="35"/>
      <c r="E8" s="35"/>
      <c r="F8" s="35"/>
    </row>
    <row r="9" spans="1:13" ht="19.5" customHeight="1">
      <c r="A9" s="2"/>
      <c r="B9" s="34" t="str">
        <f>'12.lan'!D299</f>
        <v>Branche</v>
      </c>
      <c r="C9" s="34" t="str">
        <f>'12.lan'!D300</f>
        <v>Beschreibung</v>
      </c>
      <c r="D9" s="34" t="str">
        <f>'12.lan'!D301</f>
        <v>regionale Herkunft</v>
      </c>
      <c r="E9" s="34"/>
      <c r="F9" s="34" t="str">
        <f>'12.lan'!D302</f>
        <v>Ausgaben</v>
      </c>
    </row>
    <row r="10" spans="1:13" ht="19.5" customHeight="1">
      <c r="A10" s="2"/>
      <c r="B10" s="40" t="str">
        <f>'12.lan'!$D$203</f>
        <v>Bitte Auswählen</v>
      </c>
      <c r="C10" s="37" t="str">
        <f>'12.lan'!$D$202</f>
        <v>bitte einfügen</v>
      </c>
      <c r="D10" s="37" t="str">
        <f>'12.lan'!$D$203</f>
        <v>Bitte Auswählen</v>
      </c>
      <c r="E10" s="37"/>
      <c r="F10" s="37">
        <v>0</v>
      </c>
    </row>
    <row r="11" spans="1:13" ht="19.5" customHeight="1">
      <c r="A11" s="2"/>
      <c r="B11" s="40" t="str">
        <f>'12.lan'!$D$203</f>
        <v>Bitte Auswählen</v>
      </c>
      <c r="C11" s="37" t="str">
        <f>'12.lan'!$D$202</f>
        <v>bitte einfügen</v>
      </c>
      <c r="D11" s="37" t="str">
        <f>'12.lan'!$D$203</f>
        <v>Bitte Auswählen</v>
      </c>
      <c r="E11" s="37"/>
      <c r="F11" s="37">
        <v>0</v>
      </c>
    </row>
    <row r="12" spans="1:13" ht="19.5" customHeight="1">
      <c r="A12" s="2"/>
      <c r="B12" s="40" t="str">
        <f>'12.lan'!$D$203</f>
        <v>Bitte Auswählen</v>
      </c>
      <c r="C12" s="37" t="str">
        <f>'12.lan'!$D$202</f>
        <v>bitte einfügen</v>
      </c>
      <c r="D12" s="37" t="str">
        <f>'12.lan'!$D$203</f>
        <v>Bitte Auswählen</v>
      </c>
      <c r="E12" s="37"/>
      <c r="F12" s="37">
        <v>0</v>
      </c>
    </row>
    <row r="13" spans="1:13" ht="19.5" customHeight="1">
      <c r="A13" s="2"/>
      <c r="B13" s="40" t="str">
        <f>'12.lan'!$D$203</f>
        <v>Bitte Auswählen</v>
      </c>
      <c r="C13" s="37" t="str">
        <f>'12.lan'!$D$202</f>
        <v>bitte einfügen</v>
      </c>
      <c r="D13" s="37" t="str">
        <f>'12.lan'!$D$203</f>
        <v>Bitte Auswählen</v>
      </c>
      <c r="E13" s="37"/>
      <c r="F13" s="37">
        <v>0</v>
      </c>
    </row>
    <row r="14" spans="1:13" ht="19.5" customHeight="1">
      <c r="A14" s="2"/>
      <c r="B14" s="40" t="str">
        <f>'12.lan'!$D$203</f>
        <v>Bitte Auswählen</v>
      </c>
      <c r="C14" s="37" t="str">
        <f>'12.lan'!$D$202</f>
        <v>bitte einfügen</v>
      </c>
      <c r="D14" s="37" t="str">
        <f>'12.lan'!$D$203</f>
        <v>Bitte Auswählen</v>
      </c>
      <c r="E14" s="37"/>
      <c r="F14" s="37">
        <v>0</v>
      </c>
    </row>
    <row r="15" spans="1:13" ht="19.5" customHeight="1">
      <c r="A15" s="2"/>
      <c r="B15" s="556" t="str">
        <f>'12.lan'!$D$303</f>
        <v>Überwiegende Herkunft restlicher Lieferanten</v>
      </c>
      <c r="C15" s="556"/>
      <c r="D15" s="37" t="str">
        <f>'12.lan'!$D$203</f>
        <v>Bitte Auswählen</v>
      </c>
      <c r="E15" s="37"/>
      <c r="F15" s="41">
        <f>C7-F10-F11-F12-F13-F14</f>
        <v>0</v>
      </c>
    </row>
    <row r="16" spans="1:13" ht="9.75" customHeight="1">
      <c r="A16" s="2"/>
      <c r="B16" s="42"/>
      <c r="C16" s="43"/>
    </row>
    <row r="17" spans="1:6" ht="19.5" customHeight="1">
      <c r="A17" s="2"/>
      <c r="B17" s="34" t="str">
        <f>'12.lan'!B122</f>
        <v>B: Eigentümer*innen und Finanzpartner*innen</v>
      </c>
      <c r="C17" s="35"/>
    </row>
    <row r="18" spans="1:6" ht="19.5" customHeight="1">
      <c r="A18" s="2"/>
      <c r="B18" s="36" t="str">
        <f>'12.lan'!D304</f>
        <v>Gewinn (EBIT):</v>
      </c>
      <c r="C18" s="37">
        <v>0</v>
      </c>
    </row>
    <row r="19" spans="1:6" ht="19.5" customHeight="1">
      <c r="A19" s="2"/>
      <c r="B19" s="36" t="str">
        <f>'12.lan'!D305</f>
        <v>Finanzierungskosten</v>
      </c>
      <c r="C19" s="37">
        <v>0</v>
      </c>
    </row>
    <row r="20" spans="1:6" ht="19.5" customHeight="1">
      <c r="A20" s="2"/>
      <c r="B20" s="36" t="str">
        <f>'12.lan'!D306</f>
        <v>Erträge aus Finanzanlagen</v>
      </c>
      <c r="C20" s="37">
        <v>0</v>
      </c>
    </row>
    <row r="21" spans="1:6" ht="19.5" customHeight="1">
      <c r="A21" s="2"/>
      <c r="B21" s="36" t="str">
        <f>'12.lan'!D307</f>
        <v>Bilanzaktiva</v>
      </c>
      <c r="C21" s="37">
        <v>0</v>
      </c>
    </row>
    <row r="22" spans="1:6" ht="19.5" customHeight="1">
      <c r="A22" s="2"/>
      <c r="B22" s="36" t="str">
        <f>'12.lan'!D308</f>
        <v xml:space="preserve">Zugänge zum Anlagevermögen </v>
      </c>
      <c r="C22" s="37">
        <v>0</v>
      </c>
    </row>
    <row r="23" spans="1:6" ht="19.5" customHeight="1">
      <c r="A23" s="2"/>
      <c r="B23" s="36" t="str">
        <f>'12.lan'!D309</f>
        <v>Finanzanlagen und Barguthaben</v>
      </c>
      <c r="C23" s="37">
        <v>0</v>
      </c>
    </row>
    <row r="24" spans="1:6" ht="9.75" customHeight="1">
      <c r="A24" s="2"/>
      <c r="B24" s="42"/>
      <c r="C24" s="44"/>
    </row>
    <row r="25" spans="1:6" ht="19.5" customHeight="1">
      <c r="A25" s="2"/>
      <c r="B25" s="34" t="str">
        <f>'12.lan'!B137</f>
        <v>C: Mitarbeitende</v>
      </c>
      <c r="C25" s="35"/>
    </row>
    <row r="26" spans="1:6" ht="19.5" customHeight="1">
      <c r="A26" s="2"/>
      <c r="B26" s="36" t="str">
        <f>'12.lan'!D310</f>
        <v xml:space="preserve">Anzahl der Mitarbeitenden (in Vollzeitäquivalenten): </v>
      </c>
      <c r="C26" s="37"/>
    </row>
    <row r="27" spans="1:6" ht="19.5" customHeight="1">
      <c r="A27" s="2"/>
      <c r="B27" s="36" t="str">
        <f>'12.lan'!D311</f>
        <v>Personalkosten (brutto ohne Dienstgeberanteil)</v>
      </c>
      <c r="C27" s="37"/>
    </row>
    <row r="28" spans="1:6" ht="19.5" customHeight="1">
      <c r="A28" s="2"/>
      <c r="B28" s="36" t="str">
        <f>'12.lan'!D312</f>
        <v>Tragen Sie bitte nachstehend jene drei Länder und Regionen ein, wo die meisten Mitarbeitenden arbeiten</v>
      </c>
      <c r="C28" s="35"/>
    </row>
    <row r="29" spans="1:6" ht="19.5" customHeight="1">
      <c r="A29" s="2"/>
      <c r="B29" s="36" t="str">
        <f>'12.lan'!D313</f>
        <v>Land &amp; Region</v>
      </c>
      <c r="C29" s="36"/>
      <c r="D29" s="1" t="str">
        <f>'12.lan'!D314</f>
        <v xml:space="preserve">Anteil in % </v>
      </c>
    </row>
    <row r="30" spans="1:6" ht="19.5" customHeight="1">
      <c r="A30" s="2"/>
      <c r="B30" s="37" t="str">
        <f>'12.lan'!$D$203</f>
        <v>Bitte Auswählen</v>
      </c>
      <c r="C30" s="37"/>
      <c r="D30" s="45">
        <v>0</v>
      </c>
      <c r="E30" s="38" t="str">
        <f>IF(SUM(D30:D32)&gt;"100%","fehlerhafte Eingabe","")</f>
        <v/>
      </c>
      <c r="F30" s="38"/>
    </row>
    <row r="31" spans="1:6" ht="19.5" customHeight="1">
      <c r="A31" s="2"/>
      <c r="B31" s="37" t="str">
        <f>'12.lan'!$D$203</f>
        <v>Bitte Auswählen</v>
      </c>
      <c r="C31" s="37"/>
      <c r="D31" s="45">
        <v>0</v>
      </c>
    </row>
    <row r="32" spans="1:6" ht="19.5" customHeight="1">
      <c r="A32" s="2"/>
      <c r="B32" s="37" t="str">
        <f>'12.lan'!$D$203</f>
        <v>Bitte Auswählen</v>
      </c>
      <c r="C32" s="37"/>
      <c r="D32" s="45">
        <v>0</v>
      </c>
    </row>
    <row r="33" spans="1:6" ht="19.5" customHeight="1">
      <c r="A33" s="2"/>
      <c r="B33" s="36" t="str">
        <f>'12.lan'!D315</f>
        <v>Durchschnittlicher Arbeitsweg der Mitarbeitenden (in km):</v>
      </c>
      <c r="C33" s="37"/>
    </row>
    <row r="34" spans="1:6" ht="19.5" customHeight="1">
      <c r="A34" s="2"/>
      <c r="B34" s="36" t="str">
        <f>'12.lan'!D316</f>
        <v>Gibt es eine Kantine für die Mehrheit der Mitarbeitenden?</v>
      </c>
      <c r="C34" s="20"/>
      <c r="D34" s="46" t="s">
        <v>6</v>
      </c>
      <c r="E34" s="46"/>
      <c r="F34" s="46" t="s">
        <v>7</v>
      </c>
    </row>
    <row r="35" spans="1:6" ht="9.75" customHeight="1">
      <c r="A35" s="2"/>
      <c r="B35" s="42"/>
      <c r="C35" s="44"/>
    </row>
    <row r="36" spans="1:6" ht="19.5" customHeight="1">
      <c r="A36" s="2"/>
      <c r="B36" s="34" t="str">
        <f>'12.lan'!B158</f>
        <v>D: Kund*nnen und Mitunternehmen</v>
      </c>
      <c r="C36" s="35"/>
      <c r="D36" s="35"/>
      <c r="E36" s="35"/>
      <c r="F36" s="35"/>
    </row>
    <row r="37" spans="1:6" ht="19.5" customHeight="1">
      <c r="A37" s="2"/>
      <c r="B37" s="36" t="str">
        <f>'12.lan'!D317</f>
        <v>Umsatz (in Euro)</v>
      </c>
      <c r="C37" s="37"/>
      <c r="D37" s="39"/>
      <c r="E37" s="39"/>
      <c r="F37" s="39"/>
    </row>
    <row r="38" spans="1:6" ht="19.5" customHeight="1">
      <c r="A38" s="2"/>
      <c r="B38" s="36" t="str">
        <f>'12.lan'!D318</f>
        <v>Haben Sie nahezu ausschließlich Unternehmen als Kunden</v>
      </c>
      <c r="C38" s="20"/>
      <c r="D38" s="39"/>
      <c r="E38" s="47"/>
      <c r="F38" s="47"/>
    </row>
    <row r="39" spans="1:6" ht="19.5" customHeight="1">
      <c r="A39" s="2"/>
      <c r="B39" s="36" t="str">
        <f>'12.lan'!D319</f>
        <v>Tragen Sie nachstehend, bitte die 3 wichtigsten Branchen ein, in denen Ihr Unternehmen tätig ist, inklusive ungefährem Umsatzanteil</v>
      </c>
      <c r="C39" s="35"/>
      <c r="D39" s="35"/>
      <c r="E39" s="44"/>
    </row>
    <row r="40" spans="1:6" ht="19.5" customHeight="1">
      <c r="A40" s="2"/>
      <c r="B40" s="36" t="str">
        <f>'12.lan'!D320</f>
        <v>Branche</v>
      </c>
      <c r="C40" s="36" t="str">
        <f>'12.lan'!D321</f>
        <v>Beschreibung</v>
      </c>
      <c r="D40" s="36" t="str">
        <f>'12.lan'!D322</f>
        <v>% Anteil am Gesamtumsatz</v>
      </c>
      <c r="E40" s="48"/>
    </row>
    <row r="41" spans="1:6" ht="19.5" customHeight="1">
      <c r="A41" s="2"/>
      <c r="B41" s="37" t="str">
        <f>'12.lan'!$D$203</f>
        <v>Bitte Auswählen</v>
      </c>
      <c r="C41" s="37"/>
      <c r="D41" s="45">
        <v>0</v>
      </c>
      <c r="E41" s="49"/>
      <c r="F41" s="50" t="str">
        <f>IF(SUM(D41:D43)&gt;"100%","fehlerhafte Eingabe","")</f>
        <v/>
      </c>
    </row>
    <row r="42" spans="1:6" ht="19.5" customHeight="1">
      <c r="A42" s="2"/>
      <c r="B42" s="37" t="str">
        <f>'12.lan'!$D$203</f>
        <v>Bitte Auswählen</v>
      </c>
      <c r="C42" s="37"/>
      <c r="D42" s="45">
        <v>0</v>
      </c>
      <c r="E42" s="49"/>
    </row>
    <row r="43" spans="1:6" ht="19.5" customHeight="1">
      <c r="A43" s="2"/>
      <c r="B43" s="37" t="str">
        <f>'12.lan'!$D$203</f>
        <v>Bitte Auswählen</v>
      </c>
      <c r="C43" s="37"/>
      <c r="D43" s="45">
        <v>0</v>
      </c>
      <c r="E43" s="49"/>
      <c r="F43" s="443" t="str">
        <f>IF(SUM(D41:D43)&gt;1,'12.lan'!D44,"")</f>
        <v/>
      </c>
    </row>
    <row r="44" spans="1:6" ht="9.75" customHeight="1">
      <c r="A44" s="2"/>
      <c r="B44" s="42"/>
      <c r="C44" s="44"/>
    </row>
    <row r="45" spans="1:6" ht="19.5" customHeight="1">
      <c r="A45" s="2"/>
      <c r="B45" s="34" t="str">
        <f>'12.lan'!B175</f>
        <v>E: Gesellschaftliches Umfeld</v>
      </c>
      <c r="C45" s="35"/>
      <c r="D45" s="35"/>
      <c r="E45" s="35"/>
      <c r="F45" s="35"/>
    </row>
    <row r="46" spans="1:6" ht="19.5" customHeight="1">
      <c r="A46" s="2"/>
      <c r="B46" s="36" t="str">
        <f>'12.lan'!D323</f>
        <v xml:space="preserve">Unternehmensgrösse </v>
      </c>
      <c r="C46" s="36" t="str">
        <f>'9. Weighting'!H39</f>
        <v>Kleinstunternehmen</v>
      </c>
    </row>
    <row r="47" spans="1:6" ht="9.75" customHeight="1">
      <c r="A47" s="2"/>
      <c r="B47" s="42"/>
      <c r="C47" s="44"/>
    </row>
    <row r="48" spans="1:6" ht="9.75" customHeight="1">
      <c r="A48" s="2"/>
      <c r="B48" s="42"/>
      <c r="C48" s="44"/>
    </row>
  </sheetData>
  <sheetProtection algorithmName="SHA-512" hashValue="Sv9oTxbMWzll0vrkWdV/ezJKroGC37xbPdEmyunHI4XN6x6NHMBRTNjvts8I67ye1yTmp6rAegvj8X/e2j811w==" saltValue="4C9F8MG6yOAAYIpB6DeJ/Q==" spinCount="100000" sheet="1"/>
  <mergeCells count="4">
    <mergeCell ref="B2:C2"/>
    <mergeCell ref="B3:C3"/>
    <mergeCell ref="B4:C4"/>
    <mergeCell ref="B15:C15"/>
  </mergeCells>
  <conditionalFormatting sqref="F10:F14">
    <cfRule type="cellIs" dxfId="25" priority="1" stopIfTrue="1" operator="equal">
      <formula>0</formula>
    </cfRule>
    <cfRule type="cellIs" dxfId="24" priority="2" stopIfTrue="1" operator="equal">
      <formula>0</formula>
    </cfRule>
  </conditionalFormatting>
  <conditionalFormatting sqref="C18:C23">
    <cfRule type="cellIs" dxfId="23" priority="3" stopIfTrue="1" operator="equal">
      <formula>0</formula>
    </cfRule>
  </conditionalFormatting>
  <conditionalFormatting sqref="C26:C27">
    <cfRule type="cellIs" dxfId="22" priority="4" stopIfTrue="1" operator="equal">
      <formula>0</formula>
    </cfRule>
  </conditionalFormatting>
  <conditionalFormatting sqref="D30:D32">
    <cfRule type="cellIs" dxfId="21" priority="5" stopIfTrue="1" operator="equal">
      <formula>0</formula>
    </cfRule>
  </conditionalFormatting>
  <conditionalFormatting sqref="C33">
    <cfRule type="cellIs" dxfId="20" priority="6" stopIfTrue="1" operator="equal">
      <formula>0</formula>
    </cfRule>
  </conditionalFormatting>
  <conditionalFormatting sqref="D41:D43">
    <cfRule type="cellIs" dxfId="19" priority="7" stopIfTrue="1" operator="equal">
      <formula>0</formula>
    </cfRule>
  </conditionalFormatting>
  <conditionalFormatting sqref="C37">
    <cfRule type="cellIs" dxfId="18" priority="8" stopIfTrue="1" operator="equal">
      <formula>0</formula>
    </cfRule>
  </conditionalFormatting>
  <conditionalFormatting sqref="B41:B43">
    <cfRule type="cellIs" dxfId="17" priority="9" stopIfTrue="1" operator="equal">
      <formula>"S - Andere Dienstleistungen"</formula>
    </cfRule>
  </conditionalFormatting>
  <conditionalFormatting sqref="C7">
    <cfRule type="cellIs" dxfId="16" priority="10" stopIfTrue="1" operator="equal">
      <formula>0</formula>
    </cfRule>
    <cfRule type="cellIs" dxfId="15" priority="11" stopIfTrue="1" operator="equal">
      <formula>0</formula>
    </cfRule>
  </conditionalFormatting>
  <dataValidations count="6">
    <dataValidation type="list" operator="equal" allowBlank="1" showErrorMessage="1" sqref="B13:B14" xr:uid="{00000000-0002-0000-0200-000000000000}">
      <formula1>Branchen</formula1>
      <formula2>0</formula2>
    </dataValidation>
    <dataValidation type="list" operator="equal" allowBlank="1" showErrorMessage="1" sqref="D13:D15 B32" xr:uid="{00000000-0002-0000-0200-000001000000}">
      <formula1>CountryCodes</formula1>
      <formula2>0</formula2>
    </dataValidation>
    <dataValidation operator="equal" allowBlank="1" showErrorMessage="1" sqref="E10:E15 B15:C15 C30:C32" xr:uid="{00000000-0002-0000-0200-000002000000}">
      <formula1>0</formula1>
      <formula2>0</formula2>
    </dataValidation>
    <dataValidation type="list" operator="equal" allowBlank="1" showErrorMessage="1" sqref="B30:B31 D10:D12" xr:uid="{00000000-0002-0000-0200-000003000000}">
      <formula1>CountryCodes</formula1>
    </dataValidation>
    <dataValidation type="list" operator="equal" allowBlank="1" showErrorMessage="1" sqref="B41:B43 B10:B12" xr:uid="{00000000-0002-0000-0200-000005000000}">
      <formula1>Branchen</formula1>
    </dataValidation>
    <dataValidation type="list" allowBlank="1" showInputMessage="1" showErrorMessage="1" sqref="C38 C34" xr:uid="{00000000-0002-0000-0200-000006000000}">
      <formula1>$M$2:$M$3</formula1>
    </dataValidation>
  </dataValidations>
  <pageMargins left="0.55972222222222223" right="0.7" top="0.6" bottom="0.78749999999999998"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O86"/>
  <sheetViews>
    <sheetView showGridLines="0" zoomScale="75" zoomScaleNormal="75" workbookViewId="0">
      <pane ySplit="8" topLeftCell="A20" activePane="bottomLeft" state="frozen"/>
      <selection pane="bottomLeft" activeCell="D10" sqref="D10"/>
    </sheetView>
  </sheetViews>
  <sheetFormatPr baseColWidth="10" defaultColWidth="10.7109375" defaultRowHeight="12.75" customHeight="1"/>
  <cols>
    <col min="1" max="1" width="1.28515625" style="11" customWidth="1"/>
    <col min="2" max="2" width="6.7109375" style="51" customWidth="1"/>
    <col min="3" max="3" width="68.7109375" style="52" customWidth="1"/>
    <col min="4" max="4" width="6.28515625" style="53" customWidth="1"/>
    <col min="5" max="5" width="12.7109375" style="53" customWidth="1"/>
    <col min="6" max="6" width="42.7109375" style="51" customWidth="1"/>
    <col min="7" max="7" width="4.28515625" style="51" customWidth="1"/>
    <col min="8" max="8" width="8.140625" style="53" customWidth="1"/>
    <col min="9" max="9" width="7.28515625" style="54" customWidth="1"/>
    <col min="10" max="10" width="7.28515625" style="55" customWidth="1"/>
    <col min="11" max="11" width="9.7109375" style="11" hidden="1" customWidth="1"/>
    <col min="12" max="12" width="12" style="11" hidden="1" customWidth="1"/>
    <col min="13" max="13" width="4.85546875" style="11" hidden="1" customWidth="1"/>
    <col min="14" max="14" width="21.140625" style="11" customWidth="1"/>
    <col min="15" max="15" width="10.7109375" style="11" hidden="1" customWidth="1"/>
    <col min="16" max="16" width="10.7109375" style="11"/>
    <col min="17" max="17" width="13.7109375" style="11" bestFit="1" customWidth="1"/>
    <col min="18" max="16384" width="10.7109375" style="11"/>
  </cols>
  <sheetData>
    <row r="1" spans="1:15" ht="12.75" customHeight="1">
      <c r="A1" s="13"/>
      <c r="B1" s="14"/>
      <c r="C1" s="22"/>
      <c r="D1" s="56"/>
      <c r="E1" s="56"/>
      <c r="F1" s="14"/>
      <c r="G1" s="14"/>
      <c r="H1" s="56"/>
      <c r="I1" s="57"/>
      <c r="J1" s="58"/>
    </row>
    <row r="2" spans="1:15" ht="12.75" customHeight="1">
      <c r="A2" s="13"/>
      <c r="B2" s="552" t="str">
        <f>'12.lan'!D91&amp;" - "&amp;'0. Intro'!B3&amp;" "&amp;'0. Intro'!C3</f>
        <v>Gemeinwohl-Bilanz-Rechner - Version 5.02</v>
      </c>
      <c r="C2" s="552"/>
      <c r="D2" s="56"/>
      <c r="E2" s="56"/>
      <c r="F2" s="14"/>
      <c r="G2" s="59"/>
      <c r="H2" s="564"/>
      <c r="I2" s="564"/>
      <c r="J2" s="564"/>
    </row>
    <row r="3" spans="1:15" ht="5.25" customHeight="1">
      <c r="A3" s="13"/>
      <c r="B3" s="565" t="str">
        <f>'12.lan'!D90</f>
        <v>BERECHNUNG DER EINZELNEN ASPEKTE</v>
      </c>
      <c r="C3" s="565"/>
      <c r="D3" s="565"/>
      <c r="E3" s="60"/>
      <c r="F3" s="61"/>
      <c r="G3" s="14"/>
      <c r="H3" s="564"/>
      <c r="I3" s="564"/>
      <c r="J3" s="564"/>
    </row>
    <row r="4" spans="1:15" ht="19.5" customHeight="1">
      <c r="A4" s="13"/>
      <c r="B4" s="565"/>
      <c r="C4" s="565"/>
      <c r="D4" s="565"/>
      <c r="E4" s="60"/>
      <c r="F4" s="566" t="str">
        <f>'12.lan'!D92</f>
        <v>BILANZSUMME:</v>
      </c>
      <c r="G4" s="62"/>
      <c r="H4" s="567">
        <f>I4/J4</f>
        <v>0</v>
      </c>
      <c r="I4" s="568">
        <f>IF(SUM(I9+I21+I33+I46+I59)*1000/SUM(J9+J21+J33+J46+J59)&lt;-3600,-3600,SUM(I9+I21+I33+I46+I59)*1000/SUM(J9+J21+J33+J46+J59))</f>
        <v>0</v>
      </c>
      <c r="J4" s="569">
        <f>SUM(J9+J21+J33+J46+J59)*1000/SUM(J9+J21+J33+J46+J59)</f>
        <v>1000</v>
      </c>
      <c r="L4" s="63" t="s">
        <v>9</v>
      </c>
      <c r="M4" s="63"/>
      <c r="N4" s="64"/>
      <c r="O4" s="11" t="s">
        <v>10</v>
      </c>
    </row>
    <row r="5" spans="1:15" ht="12.75" customHeight="1">
      <c r="A5" s="13"/>
      <c r="B5" s="570" t="str">
        <f>'12.lan'!D82&amp;": "&amp;'1. General'!C6&amp;"; "&amp;'12.lan'!D83&amp;": "&amp;'1. General'!C12</f>
        <v xml:space="preserve">Unternehmen: ; Bilanz-Jahr: </v>
      </c>
      <c r="C5" s="570"/>
      <c r="D5" s="570"/>
      <c r="E5" s="65"/>
      <c r="F5" s="566"/>
      <c r="G5" s="66"/>
      <c r="H5" s="567"/>
      <c r="I5" s="568"/>
      <c r="J5" s="569"/>
    </row>
    <row r="6" spans="1:15" ht="13.5" customHeight="1">
      <c r="A6" s="13"/>
      <c r="B6" s="14"/>
      <c r="C6" s="22"/>
      <c r="D6" s="56"/>
      <c r="E6" s="56"/>
      <c r="F6" s="14"/>
      <c r="G6" s="14"/>
      <c r="H6" s="56"/>
      <c r="I6" s="57"/>
      <c r="J6" s="58"/>
    </row>
    <row r="7" spans="1:15" ht="29.25" customHeight="1">
      <c r="A7" s="13"/>
      <c r="B7" s="571"/>
      <c r="C7" s="571"/>
      <c r="D7" s="571"/>
      <c r="E7" s="571"/>
      <c r="F7" s="571"/>
      <c r="G7" s="571"/>
      <c r="H7" s="571"/>
      <c r="I7" s="571"/>
      <c r="J7" s="571"/>
    </row>
    <row r="8" spans="1:15" ht="30" customHeight="1">
      <c r="A8" s="13"/>
      <c r="B8" s="67" t="str">
        <f>'12.lan'!D93</f>
        <v>Nr.</v>
      </c>
      <c r="C8" s="67" t="str">
        <f>'12.lan'!D107</f>
        <v>Berührungsgruppe/Themen/Aspekte</v>
      </c>
      <c r="D8" s="572" t="str">
        <f>'12.lan'!D96</f>
        <v>Gewichtung</v>
      </c>
      <c r="E8" s="572"/>
      <c r="F8" s="68" t="str">
        <f>'12.lan'!D102</f>
        <v>Erläuterung</v>
      </c>
      <c r="G8" s="68"/>
      <c r="H8" s="69" t="str">
        <f>'12.lan'!D104</f>
        <v>Erfüll.</v>
      </c>
      <c r="I8" s="70" t="str">
        <f>'12.lan'!D105</f>
        <v>Pkte</v>
      </c>
      <c r="J8" s="70" t="str">
        <f>'12.lan'!D106</f>
        <v>Max.</v>
      </c>
      <c r="L8" s="71" t="s">
        <v>11</v>
      </c>
      <c r="M8" s="71"/>
      <c r="O8" s="72" t="s">
        <v>12</v>
      </c>
    </row>
    <row r="9" spans="1:15" ht="36" customHeight="1">
      <c r="A9" s="13"/>
      <c r="B9" s="73" t="s">
        <v>13</v>
      </c>
      <c r="C9" s="573" t="str">
        <f>'12.lan'!D108</f>
        <v>Lieferant*innen</v>
      </c>
      <c r="D9" s="573"/>
      <c r="E9" s="573"/>
      <c r="F9" s="573"/>
      <c r="G9" s="573"/>
      <c r="H9" s="74">
        <f>IF(J9&lt;&gt;0,ROUND(N9,1),"-")</f>
        <v>0</v>
      </c>
      <c r="I9" s="75">
        <f>I10+I13+I16+I19</f>
        <v>0</v>
      </c>
      <c r="J9" s="75">
        <f>J10+J13+J16+J19</f>
        <v>179.48717948717947</v>
      </c>
      <c r="N9" s="76">
        <f>I9/J9</f>
        <v>0</v>
      </c>
    </row>
    <row r="10" spans="1:15" ht="33" customHeight="1">
      <c r="A10" s="13"/>
      <c r="B10" s="77" t="s">
        <v>14</v>
      </c>
      <c r="C10" s="78" t="str">
        <f>'12.lan'!D109</f>
        <v>Menschenwürde in der Zulieferkette</v>
      </c>
      <c r="D10" s="79">
        <f>IF(K10="trifft nicht zu",C85,'9. Weighting'!M16)</f>
        <v>1</v>
      </c>
      <c r="E10" s="80" t="str">
        <f>VLOOKUP(D10,$C$81:$D$85,2,FALSE)</f>
        <v>mittel</v>
      </c>
      <c r="F10" s="81">
        <f>'9. Weighting'!M16</f>
        <v>1</v>
      </c>
      <c r="G10" s="78"/>
      <c r="H10" s="82">
        <f>IF(J10&lt;&gt;0,ROUND(SUM(I11:I12)/J10,1),"-")</f>
        <v>0</v>
      </c>
      <c r="I10" s="83">
        <f>IF(J10=0,0,H10*J10)</f>
        <v>0</v>
      </c>
      <c r="J10" s="83">
        <f>'9. Weighting'!M15</f>
        <v>51.282051282051277</v>
      </c>
      <c r="K10" s="64"/>
      <c r="L10" s="11">
        <f>VLOOKUP(O10,$C$81:$E$85,3,FALSE)</f>
        <v>1</v>
      </c>
      <c r="M10" s="11">
        <f>VLOOKUP(D10,$C$81:$E$85,3,FALSE)</f>
        <v>1</v>
      </c>
      <c r="N10" s="84" t="str">
        <f>IF(L10=M10,"",'12.lan'!$D$240&amp;VLOOKUP(L10,$C$81:$D$85,2,FALSE)&amp;" ("&amp;L10&amp;")")</f>
        <v/>
      </c>
      <c r="O10" s="11">
        <f>IF(K10="trifft nicht zu",C85,'9. Weighting'!M16)</f>
        <v>1</v>
      </c>
    </row>
    <row r="11" spans="1:15" ht="33.75" customHeight="1">
      <c r="A11" s="13"/>
      <c r="B11" s="557" t="str">
        <f>B10</f>
        <v>A1</v>
      </c>
      <c r="C11" s="85" t="str">
        <f>C10</f>
        <v>Menschenwürde in der Zulieferkette</v>
      </c>
      <c r="D11" s="531"/>
      <c r="E11" s="97"/>
      <c r="F11" s="86" t="str">
        <f>'12.lan'!$D$329</f>
        <v>Skalenwert eingeben: Wert muss im Bereich von 0 bis 10 liegen.</v>
      </c>
      <c r="G11" s="87"/>
      <c r="H11" s="88">
        <v>0</v>
      </c>
      <c r="I11" s="89">
        <f>J11*H11/10</f>
        <v>0</v>
      </c>
      <c r="J11" s="89">
        <f>J10*K11/K11</f>
        <v>51.282051282051277</v>
      </c>
      <c r="K11" s="11">
        <v>1</v>
      </c>
      <c r="N11" s="84"/>
    </row>
    <row r="12" spans="1:15" ht="30" customHeight="1">
      <c r="A12" s="13"/>
      <c r="B12" s="563"/>
      <c r="C12" s="85" t="str">
        <f>'12.lan'!D111</f>
        <v>Negativ-Aspekt: Verletzung der Menschenwürde in der Zulieferkette</v>
      </c>
      <c r="D12" s="531"/>
      <c r="E12" s="97"/>
      <c r="F12" s="86" t="str">
        <f>'12.lan'!$D$330</f>
        <v>Negativpunkte eingeben: Werte müssen im Bereich von -200 bis 0 liegen.</v>
      </c>
      <c r="G12" s="87"/>
      <c r="H12" s="88">
        <v>0</v>
      </c>
      <c r="I12" s="89">
        <f>H12*J10/50</f>
        <v>0</v>
      </c>
      <c r="J12" s="89">
        <f>-200*J10/50</f>
        <v>-205.12820512820511</v>
      </c>
    </row>
    <row r="13" spans="1:15" ht="33" customHeight="1">
      <c r="A13" s="13"/>
      <c r="B13" s="77" t="s">
        <v>17</v>
      </c>
      <c r="C13" s="78" t="str">
        <f>'12.lan'!D112</f>
        <v>Solidarität und Gerechtigkeit in der Zulieferkette</v>
      </c>
      <c r="D13" s="79">
        <f>IF(K13="trifft nicht zu",C85,'9. Weighting'!N16)</f>
        <v>1</v>
      </c>
      <c r="E13" s="80" t="str">
        <f>VLOOKUP(D13,$C$81:$D$85,2,FALSE)</f>
        <v>mittel</v>
      </c>
      <c r="F13" s="90">
        <f>IF(K13="trifft nicht zu","trifft nicht zu",'9. Weighting'!N16)</f>
        <v>1</v>
      </c>
      <c r="G13" s="91"/>
      <c r="H13" s="82">
        <f>IF(J13&lt;&gt;0,ROUND(SUM(I14:I15)/J13,1),"-")</f>
        <v>0</v>
      </c>
      <c r="I13" s="83">
        <f>IF(J13=0,0,H13*J13)</f>
        <v>0</v>
      </c>
      <c r="J13" s="83">
        <f>'9. Weighting'!N15</f>
        <v>51.282051282051277</v>
      </c>
      <c r="K13" s="64" t="str">
        <f>IF(D14="trifft nicht zu","trifft nicht zu","")</f>
        <v/>
      </c>
      <c r="L13" s="11">
        <f>VLOOKUP(O13,$C$81:$E$85,3,FALSE)</f>
        <v>1</v>
      </c>
      <c r="M13" s="11">
        <f>VLOOKUP(D13,$C$81:$E$85,3,FALSE)</f>
        <v>1</v>
      </c>
      <c r="N13" s="84" t="str">
        <f>IF(L13=M13,"",'12.lan'!$D$240&amp;VLOOKUP(L13,$C$81:$D$85,2,FALSE)&amp;" ("&amp;L13&amp;")")</f>
        <v/>
      </c>
      <c r="O13" s="11">
        <f>IF(K13="trifft nicht zu",C85,'9. Weighting'!N16)</f>
        <v>1</v>
      </c>
    </row>
    <row r="14" spans="1:15" ht="30" customHeight="1">
      <c r="A14" s="13"/>
      <c r="B14" s="557" t="str">
        <f>B13</f>
        <v>A2</v>
      </c>
      <c r="C14" s="85" t="str">
        <f>C13</f>
        <v>Solidarität und Gerechtigkeit in der Zulieferkette</v>
      </c>
      <c r="D14" s="531"/>
      <c r="E14" s="97"/>
      <c r="F14" s="86" t="str">
        <f>'12.lan'!$D$329</f>
        <v>Skalenwert eingeben: Wert muss im Bereich von 0 bis 10 liegen.</v>
      </c>
      <c r="G14" s="87"/>
      <c r="H14" s="88">
        <v>0</v>
      </c>
      <c r="I14" s="89">
        <f>IFERROR(J14*H14/10,0)</f>
        <v>0</v>
      </c>
      <c r="J14" s="89">
        <f>J13*K14/K14</f>
        <v>51.282051282051277</v>
      </c>
      <c r="K14" s="11">
        <v>1</v>
      </c>
      <c r="N14" s="84"/>
    </row>
    <row r="15" spans="1:15" ht="33" customHeight="1">
      <c r="A15" s="13"/>
      <c r="B15" s="563"/>
      <c r="C15" s="85" t="str">
        <f>'12.lan'!D115</f>
        <v>Negativ-Aspekt: Ausnutzung der Marktmacht gegenüber Lieferant*innen</v>
      </c>
      <c r="D15" s="531"/>
      <c r="E15" s="97"/>
      <c r="F15" s="86" t="str">
        <f>'12.lan'!$D$330</f>
        <v>Negativpunkte eingeben: Werte müssen im Bereich von -200 bis 0 liegen.</v>
      </c>
      <c r="G15" s="87"/>
      <c r="H15" s="88">
        <v>0</v>
      </c>
      <c r="I15" s="89">
        <f>H15*J13/50</f>
        <v>0</v>
      </c>
      <c r="J15" s="89">
        <f>-200*J13/50</f>
        <v>-205.12820512820511</v>
      </c>
    </row>
    <row r="16" spans="1:15" ht="33" customHeight="1">
      <c r="A16" s="13"/>
      <c r="B16" s="77" t="s">
        <v>21</v>
      </c>
      <c r="C16" s="78" t="str">
        <f>'12.lan'!D116</f>
        <v>Ökologische Nachhaltigkeit in der Zulieferkette</v>
      </c>
      <c r="D16" s="79">
        <f>IF(K16="trifft nicht zu",C85,'9. Weighting'!O16)</f>
        <v>1</v>
      </c>
      <c r="E16" s="80" t="str">
        <f>VLOOKUP(D16,$C$81:$D$85,2,FALSE)</f>
        <v>mittel</v>
      </c>
      <c r="F16" s="90">
        <f>IF(K16="trifft nicht zu","trifft nicht zu",'9. Weighting'!O16)</f>
        <v>1</v>
      </c>
      <c r="G16" s="91"/>
      <c r="H16" s="82">
        <f>IF(J16&lt;&gt;0,ROUND(SUM(I17:I18)/J16,1),"-")</f>
        <v>0</v>
      </c>
      <c r="I16" s="83">
        <f>IF(J16=0,0,H16*J16)</f>
        <v>0</v>
      </c>
      <c r="J16" s="83">
        <f>'9. Weighting'!O15</f>
        <v>51.282051282051277</v>
      </c>
      <c r="K16" s="64" t="str">
        <f>IF(D17="trifft nicht zu","trifft nicht zu","")</f>
        <v/>
      </c>
      <c r="L16" s="11">
        <f>VLOOKUP(O16,$C$81:$E$85,3,FALSE)</f>
        <v>1</v>
      </c>
      <c r="M16" s="11">
        <f>VLOOKUP(D16,$C$81:$E$85,3,FALSE)</f>
        <v>1</v>
      </c>
      <c r="N16" s="84" t="str">
        <f>IF(L16=M16,"",'12.lan'!$D$240&amp;VLOOKUP(L16,$C$81:$D$85,2,FALSE)&amp;" ("&amp;L16&amp;")")</f>
        <v/>
      </c>
      <c r="O16" s="11">
        <f>IF(K16="trifft nicht zu",C85,'9. Weighting'!O16)</f>
        <v>1</v>
      </c>
    </row>
    <row r="17" spans="1:15" ht="30" customHeight="1">
      <c r="A17" s="13"/>
      <c r="B17" s="557" t="str">
        <f>B16</f>
        <v>A3</v>
      </c>
      <c r="C17" s="85" t="str">
        <f>C16</f>
        <v>Ökologische Nachhaltigkeit in der Zulieferkette</v>
      </c>
      <c r="D17" s="531"/>
      <c r="E17" s="97"/>
      <c r="F17" s="86" t="str">
        <f>'12.lan'!$D$329</f>
        <v>Skalenwert eingeben: Wert muss im Bereich von 0 bis 10 liegen.</v>
      </c>
      <c r="G17" s="87"/>
      <c r="H17" s="88">
        <v>0</v>
      </c>
      <c r="I17" s="89">
        <f>J17*H17/10</f>
        <v>0</v>
      </c>
      <c r="J17" s="89">
        <f>J16*K17/K17</f>
        <v>51.282051282051277</v>
      </c>
      <c r="K17" s="11">
        <v>1</v>
      </c>
      <c r="N17" s="84"/>
    </row>
    <row r="18" spans="1:15" ht="33" customHeight="1">
      <c r="A18" s="13"/>
      <c r="B18" s="563"/>
      <c r="C18" s="85" t="str">
        <f>'12.lan'!D118</f>
        <v>Negativ-Aspekt:Unverhältnismäßig hohe Umweltauswirkungen in der Zulieferkette</v>
      </c>
      <c r="D18" s="531"/>
      <c r="E18" s="97"/>
      <c r="F18" s="86" t="str">
        <f>'12.lan'!$D$330</f>
        <v>Negativpunkte eingeben: Werte müssen im Bereich von -200 bis 0 liegen.</v>
      </c>
      <c r="G18" s="87"/>
      <c r="H18" s="88">
        <v>0</v>
      </c>
      <c r="I18" s="89">
        <f>H18*J16/50</f>
        <v>0</v>
      </c>
      <c r="J18" s="89">
        <f>-200*J16/50</f>
        <v>-205.12820512820511</v>
      </c>
    </row>
    <row r="19" spans="1:15" ht="33" customHeight="1">
      <c r="A19" s="13"/>
      <c r="B19" s="77" t="s">
        <v>24</v>
      </c>
      <c r="C19" s="78" t="str">
        <f>'12.lan'!D119</f>
        <v>Transparenz und Mitentscheidung in der Zulieferkette</v>
      </c>
      <c r="D19" s="79">
        <f>IF(K19="trifft nicht zu",C85,'9. Weighting'!P16)</f>
        <v>0.5</v>
      </c>
      <c r="E19" s="80" t="str">
        <f>VLOOKUP(D19,$C$81:$D$85,2,FALSE)</f>
        <v>niedrig</v>
      </c>
      <c r="F19" s="90">
        <f>IF(K19="trifft nicht zu","trifft nicht zu",'9. Weighting'!P16)</f>
        <v>0.5</v>
      </c>
      <c r="G19" s="91"/>
      <c r="H19" s="82">
        <f>IF(J19&lt;&gt;0,ROUND(SUM(I20:I20)/J19,1),"-")</f>
        <v>0</v>
      </c>
      <c r="I19" s="83">
        <f>IF(J19=0,0,H19*J19)</f>
        <v>0</v>
      </c>
      <c r="J19" s="83">
        <f>'9. Weighting'!P15</f>
        <v>25.641025641025639</v>
      </c>
      <c r="K19" s="64" t="str">
        <f>IF(D20="trifft nicht zu","trifft nicht zu","")</f>
        <v/>
      </c>
      <c r="L19" s="11">
        <f>VLOOKUP(O19,$C$81:$E$85,3,FALSE)</f>
        <v>0.5</v>
      </c>
      <c r="M19" s="11">
        <f>VLOOKUP(D19,$C$81:$E$85,3,FALSE)</f>
        <v>0.5</v>
      </c>
      <c r="N19" s="84" t="str">
        <f>IF(L19=M19,"",'12.lan'!$D$240&amp;VLOOKUP(L19,$C$81:$D$85,2,FALSE)&amp;" ("&amp;L19&amp;")")</f>
        <v/>
      </c>
      <c r="O19" s="11">
        <f>IF(K19="trifft nicht zu",C85,'9. Weighting'!P16)</f>
        <v>0.5</v>
      </c>
    </row>
    <row r="20" spans="1:15" ht="36.75" customHeight="1">
      <c r="A20" s="13"/>
      <c r="B20" s="85" t="str">
        <f>B19</f>
        <v>A4</v>
      </c>
      <c r="C20" s="85" t="str">
        <f>C19</f>
        <v>Transparenz und Mitentscheidung in der Zulieferkette</v>
      </c>
      <c r="D20" s="531"/>
      <c r="E20" s="97"/>
      <c r="F20" s="86" t="str">
        <f>'12.lan'!$D$329</f>
        <v>Skalenwert eingeben: Wert muss im Bereich von 0 bis 10 liegen.</v>
      </c>
      <c r="G20" s="87"/>
      <c r="H20" s="88">
        <v>0</v>
      </c>
      <c r="I20" s="89">
        <f>IFERROR(J20*H20/10,0)</f>
        <v>0</v>
      </c>
      <c r="J20" s="89">
        <f>J19*K20/K20</f>
        <v>25.641025641025639</v>
      </c>
      <c r="K20" s="11">
        <v>1</v>
      </c>
      <c r="N20" s="84"/>
    </row>
    <row r="21" spans="1:15" ht="36" customHeight="1">
      <c r="A21" s="13"/>
      <c r="B21" s="73" t="s">
        <v>27</v>
      </c>
      <c r="C21" s="73" t="str">
        <f>'12.lan'!D122</f>
        <v>Eigentümer*innen und Finanzpartner*innen</v>
      </c>
      <c r="D21" s="92"/>
      <c r="E21" s="93"/>
      <c r="F21" s="93"/>
      <c r="G21" s="93"/>
      <c r="H21" s="74">
        <f>I21/J21</f>
        <v>0</v>
      </c>
      <c r="I21" s="75">
        <f>I22+I24+I27+I30</f>
        <v>0</v>
      </c>
      <c r="J21" s="75">
        <f>J22+J24+J27+J30</f>
        <v>205.12820512820511</v>
      </c>
    </row>
    <row r="22" spans="1:15" ht="33" customHeight="1">
      <c r="A22" s="13"/>
      <c r="B22" s="77" t="s">
        <v>28</v>
      </c>
      <c r="C22" s="78" t="str">
        <f>'12.lan'!D123</f>
        <v>Ethische Haltung im Umgang mit Geldmitteln</v>
      </c>
      <c r="D22" s="79">
        <f>IF(K22="trifft nicht zu",C85,'9. Weighting'!M24)</f>
        <v>1</v>
      </c>
      <c r="E22" s="94" t="str">
        <f>VLOOKUP(D22,$C$81:$D$85,2,FALSE)</f>
        <v>mittel</v>
      </c>
      <c r="F22" s="90">
        <f>IF(K22="trifft nicht zu","trifft nicht zu",'9. Weighting'!M24)</f>
        <v>1</v>
      </c>
      <c r="G22" s="91"/>
      <c r="H22" s="82">
        <f>IF(J22&lt;&gt;0,ROUND(SUM(I23:I23)/J22,1),"-")</f>
        <v>0</v>
      </c>
      <c r="I22" s="83">
        <f>IF(J22=0,0,H22*J22)</f>
        <v>0</v>
      </c>
      <c r="J22" s="83">
        <f>'9. Weighting'!M23</f>
        <v>51.282051282051277</v>
      </c>
      <c r="K22" s="64" t="str">
        <f>IF(D23="trifft nicht zu","trifft nicht zu","")</f>
        <v/>
      </c>
      <c r="L22" s="11">
        <f>VLOOKUP(O22,$C$81:$E$85,3,FALSE)</f>
        <v>1</v>
      </c>
      <c r="M22" s="11">
        <f>VLOOKUP(D22,$C$81:$E$85,3,FALSE)</f>
        <v>1</v>
      </c>
      <c r="N22" s="84" t="str">
        <f>IF(L22=M22,"",'12.lan'!$D$240&amp;VLOOKUP(L22,$C$81:$D$85,2,FALSE)&amp;" ("&amp;L22&amp;")")</f>
        <v/>
      </c>
      <c r="O22" s="95">
        <f>IF(K22="trifft nicht zu",C85,'9. Weighting'!M24)</f>
        <v>1</v>
      </c>
    </row>
    <row r="23" spans="1:15" ht="30" customHeight="1">
      <c r="A23" s="13"/>
      <c r="B23" s="96" t="str">
        <f>B22</f>
        <v>B1</v>
      </c>
      <c r="C23" s="85" t="str">
        <f>C22</f>
        <v>Ethische Haltung im Umgang mit Geldmitteln</v>
      </c>
      <c r="D23" s="531"/>
      <c r="E23" s="97"/>
      <c r="F23" s="86" t="str">
        <f>'12.lan'!$D$329</f>
        <v>Skalenwert eingeben: Wert muss im Bereich von 0 bis 10 liegen.</v>
      </c>
      <c r="G23" s="87"/>
      <c r="H23" s="88">
        <v>0</v>
      </c>
      <c r="I23" s="89">
        <f>IFERROR(J23*H23/10,0)</f>
        <v>0</v>
      </c>
      <c r="J23" s="89">
        <f>J22*K23/K23</f>
        <v>51.282051282051277</v>
      </c>
      <c r="K23" s="11">
        <v>1</v>
      </c>
      <c r="N23" s="84"/>
    </row>
    <row r="24" spans="1:15" ht="33" customHeight="1">
      <c r="A24" s="13"/>
      <c r="B24" s="77" t="s">
        <v>32</v>
      </c>
      <c r="C24" s="78" t="str">
        <f>'12.lan'!D127</f>
        <v>Soziale Haltung im Umgang mit Geldmitteln</v>
      </c>
      <c r="D24" s="79">
        <f>IF(K24="trifft nicht zu",C85,'9. Weighting'!N24)</f>
        <v>1</v>
      </c>
      <c r="E24" s="94" t="str">
        <f>VLOOKUP(D24,$C$81:$D$85,2,FALSE)</f>
        <v>mittel</v>
      </c>
      <c r="F24" s="90">
        <f>IF(K24="trifft nicht zu","trifft nicht zu",'9. Weighting'!N24)</f>
        <v>1</v>
      </c>
      <c r="G24" s="91"/>
      <c r="H24" s="82">
        <f>IF(J24&lt;&gt;0,ROUND(SUM(I25:I26)/J24,1),"-")</f>
        <v>0</v>
      </c>
      <c r="I24" s="83">
        <f>IF(J24=0,0,H24*J24)</f>
        <v>0</v>
      </c>
      <c r="J24" s="83">
        <f>'9. Weighting'!N23</f>
        <v>51.282051282051277</v>
      </c>
      <c r="L24" s="11">
        <f>VLOOKUP(O24,$C$81:$E$85,3,FALSE)</f>
        <v>1</v>
      </c>
      <c r="M24" s="11">
        <f>VLOOKUP(D24,$C$81:$E$85,3,FALSE)</f>
        <v>1</v>
      </c>
      <c r="N24" s="84" t="str">
        <f>IF(L24=M24,"",'12.lan'!$D$240&amp;VLOOKUP(L24,$C$81:$D$85,2,FALSE)&amp;" ("&amp;L24&amp;")")</f>
        <v/>
      </c>
      <c r="O24" s="95">
        <f>IF(K24="trifft nicht zu",C85,'9. Weighting'!N24)</f>
        <v>1</v>
      </c>
    </row>
    <row r="25" spans="1:15" ht="30" customHeight="1">
      <c r="A25" s="13"/>
      <c r="B25" s="559" t="str">
        <f>B24</f>
        <v>B2</v>
      </c>
      <c r="C25" s="85" t="str">
        <f>C24</f>
        <v>Soziale Haltung im Umgang mit Geldmitteln</v>
      </c>
      <c r="D25" s="532"/>
      <c r="E25" s="530"/>
      <c r="F25" s="86" t="str">
        <f>'12.lan'!$D$329</f>
        <v>Skalenwert eingeben: Wert muss im Bereich von 0 bis 10 liegen.</v>
      </c>
      <c r="G25" s="87"/>
      <c r="H25" s="88">
        <v>0</v>
      </c>
      <c r="I25" s="89">
        <f>J25*H25/10</f>
        <v>0</v>
      </c>
      <c r="J25" s="89">
        <f>$J$24*K25/(K25)</f>
        <v>51.282051282051277</v>
      </c>
      <c r="K25" s="11">
        <v>1</v>
      </c>
      <c r="N25" s="84"/>
    </row>
    <row r="26" spans="1:15" ht="30" customHeight="1">
      <c r="A26" s="13"/>
      <c r="B26" s="562"/>
      <c r="C26" s="30" t="str">
        <f>'12.lan'!D129</f>
        <v>Negativ-Aspekt: Unfaire Verteilung von Geldmittel</v>
      </c>
      <c r="D26" s="533"/>
      <c r="E26" s="97"/>
      <c r="F26" s="86" t="str">
        <f>'12.lan'!$D$330</f>
        <v>Negativpunkte eingeben: Werte müssen im Bereich von -200 bis 0 liegen.</v>
      </c>
      <c r="G26" s="87"/>
      <c r="H26" s="88">
        <v>0</v>
      </c>
      <c r="I26" s="89">
        <f>H26*J24/50</f>
        <v>0</v>
      </c>
      <c r="J26" s="89">
        <f>-200*J24/50</f>
        <v>-205.12820512820511</v>
      </c>
    </row>
    <row r="27" spans="1:15" ht="33" customHeight="1">
      <c r="A27" s="13"/>
      <c r="B27" s="77" t="s">
        <v>35</v>
      </c>
      <c r="C27" s="78" t="str">
        <f>'12.lan'!D130</f>
        <v>Sozial-ökologische Investitionen und Mittelverwendung</v>
      </c>
      <c r="D27" s="79">
        <f>IF(K27="trifft nicht zu",C85,'9. Weighting'!O24)</f>
        <v>1</v>
      </c>
      <c r="E27" s="94" t="str">
        <f>VLOOKUP(D27,$C$81:$D$85,2,FALSE)</f>
        <v>mittel</v>
      </c>
      <c r="F27" s="90">
        <f>IF(K27="trifft nicht zu","trifft nicht zu",'9. Weighting'!O24)</f>
        <v>1</v>
      </c>
      <c r="G27" s="91"/>
      <c r="H27" s="82">
        <f>IF(J27&lt;&gt;0,ROUND(SUM(I28:I29)/J27,1),"-")</f>
        <v>0</v>
      </c>
      <c r="I27" s="83">
        <f>IF(J27=0,0,H27*J27)</f>
        <v>0</v>
      </c>
      <c r="J27" s="83">
        <f>'9. Weighting'!O23</f>
        <v>51.282051282051277</v>
      </c>
      <c r="K27" s="64" t="str">
        <f>IF(D28="trifft nicht zu","trifft nicht zu","")</f>
        <v/>
      </c>
      <c r="L27" s="11">
        <f>VLOOKUP(O27,$C$81:$E$85,3,FALSE)</f>
        <v>1</v>
      </c>
      <c r="M27" s="11">
        <f>VLOOKUP(D27,$C$81:$E$85,3,FALSE)</f>
        <v>1</v>
      </c>
      <c r="N27" s="84" t="str">
        <f>IF(L27=M27,"",'12.lan'!$D$240&amp;VLOOKUP(L27,$C$81:$D$85,2,FALSE)&amp;" ("&amp;L27&amp;")")</f>
        <v/>
      </c>
      <c r="O27" s="95">
        <f>IF(K27="trifft nicht zu",C85,'9. Weighting'!O24)</f>
        <v>1</v>
      </c>
    </row>
    <row r="28" spans="1:15" ht="30" customHeight="1">
      <c r="A28" s="13"/>
      <c r="B28" s="559" t="str">
        <f>B27</f>
        <v>B3</v>
      </c>
      <c r="C28" s="85" t="str">
        <f>C27</f>
        <v>Sozial-ökologische Investitionen und Mittelverwendung</v>
      </c>
      <c r="D28" s="531"/>
      <c r="E28" s="97"/>
      <c r="F28" s="86" t="str">
        <f>'12.lan'!$D$329</f>
        <v>Skalenwert eingeben: Wert muss im Bereich von 0 bis 10 liegen.</v>
      </c>
      <c r="G28" s="87"/>
      <c r="H28" s="88">
        <v>0</v>
      </c>
      <c r="I28" s="89">
        <f>IFERROR(J28*H28/10,0)</f>
        <v>0</v>
      </c>
      <c r="J28" s="89">
        <f>J27*K28/K28</f>
        <v>51.282051282051277</v>
      </c>
      <c r="K28" s="11">
        <v>1</v>
      </c>
      <c r="N28" s="84"/>
    </row>
    <row r="29" spans="1:15" ht="30" customHeight="1">
      <c r="A29" s="13"/>
      <c r="B29" s="562"/>
      <c r="C29" s="30" t="str">
        <f>'12.lan'!D133</f>
        <v>Negativ-Aspekt: Abhängigkeit von ökologisch bedenklichen Ressourcen</v>
      </c>
      <c r="D29" s="531"/>
      <c r="E29" s="97"/>
      <c r="F29" s="86" t="str">
        <f>'12.lan'!$D$330</f>
        <v>Negativpunkte eingeben: Werte müssen im Bereich von -200 bis 0 liegen.</v>
      </c>
      <c r="G29" s="87"/>
      <c r="H29" s="88">
        <v>0</v>
      </c>
      <c r="I29" s="89">
        <f>H29*J27/50</f>
        <v>0</v>
      </c>
      <c r="J29" s="89">
        <f>-200*J27/50</f>
        <v>-205.12820512820511</v>
      </c>
    </row>
    <row r="30" spans="1:15" ht="33" customHeight="1">
      <c r="A30" s="13"/>
      <c r="B30" s="77" t="s">
        <v>39</v>
      </c>
      <c r="C30" s="78" t="str">
        <f>'12.lan'!D134</f>
        <v>Eigentum und Mitentscheidung</v>
      </c>
      <c r="D30" s="79">
        <f>IF(K30="trifft nicht zu",C85,'9. Weighting'!P24)</f>
        <v>1</v>
      </c>
      <c r="E30" s="94" t="str">
        <f>VLOOKUP(D30,$C$81:$D$85,2,FALSE)</f>
        <v>mittel</v>
      </c>
      <c r="F30" s="90">
        <f>IF(K30="trifft nicht zu","trifft nicht zu",'9. Weighting'!P24)</f>
        <v>1</v>
      </c>
      <c r="G30" s="91"/>
      <c r="H30" s="82">
        <f>IF(J30&lt;&gt;0,ROUND(SUM(I31:I32)/J30,1),"-")</f>
        <v>0</v>
      </c>
      <c r="I30" s="83">
        <f>IF(J30=0,0,H30*J30)</f>
        <v>0</v>
      </c>
      <c r="J30" s="83">
        <f>'9. Weighting'!P23</f>
        <v>51.282051282051277</v>
      </c>
      <c r="L30" s="11">
        <f>VLOOKUP(O30,$C$81:$E$85,3,FALSE)</f>
        <v>1</v>
      </c>
      <c r="M30" s="11">
        <f>VLOOKUP(D30,$C$81:$E$85,3,FALSE)</f>
        <v>1</v>
      </c>
      <c r="N30" s="84" t="str">
        <f>IF(L30=M30,"",'12.lan'!$D$240&amp;VLOOKUP(L30,$C$81:$D$85,2,FALSE)&amp;" ("&amp;L30&amp;")")</f>
        <v/>
      </c>
      <c r="O30" s="11">
        <f>IF(K30="trifft nicht zu",C85,'9. Weighting'!P24)</f>
        <v>1</v>
      </c>
    </row>
    <row r="31" spans="1:15" ht="30" customHeight="1">
      <c r="A31" s="13"/>
      <c r="B31" s="559" t="str">
        <f>B30</f>
        <v>B4</v>
      </c>
      <c r="C31" s="85" t="str">
        <f>C30</f>
        <v>Eigentum und Mitentscheidung</v>
      </c>
      <c r="D31" s="531"/>
      <c r="E31" s="97"/>
      <c r="F31" s="86" t="str">
        <f>'12.lan'!$D$329</f>
        <v>Skalenwert eingeben: Wert muss im Bereich von 0 bis 10 liegen.</v>
      </c>
      <c r="G31" s="87"/>
      <c r="H31" s="88">
        <v>0</v>
      </c>
      <c r="I31" s="89">
        <f>J31*H31/10</f>
        <v>0</v>
      </c>
      <c r="J31" s="89">
        <f>$J$30*K31/(K31)</f>
        <v>51.282051282051277</v>
      </c>
      <c r="K31" s="11">
        <v>1</v>
      </c>
    </row>
    <row r="32" spans="1:15" ht="30" customHeight="1">
      <c r="A32" s="13"/>
      <c r="B32" s="562"/>
      <c r="C32" s="30" t="str">
        <f>'12.lan'!D136</f>
        <v>Negativ-Aspekt: Feindliche Übernahme</v>
      </c>
      <c r="D32" s="531"/>
      <c r="E32" s="97"/>
      <c r="F32" s="86" t="str">
        <f>'12.lan'!$D$330</f>
        <v>Negativpunkte eingeben: Werte müssen im Bereich von -200 bis 0 liegen.</v>
      </c>
      <c r="G32" s="87"/>
      <c r="H32" s="88">
        <v>0</v>
      </c>
      <c r="I32" s="89">
        <f>H32*J30/50</f>
        <v>0</v>
      </c>
      <c r="J32" s="89">
        <f>-200*J30/50</f>
        <v>-205.12820512820511</v>
      </c>
    </row>
    <row r="33" spans="1:15" ht="36" customHeight="1">
      <c r="A33" s="13"/>
      <c r="B33" s="73" t="s">
        <v>42</v>
      </c>
      <c r="C33" s="73" t="str">
        <f>'12.lan'!D137</f>
        <v>Mitarbeitende</v>
      </c>
      <c r="D33" s="92"/>
      <c r="E33" s="98"/>
      <c r="F33" s="93"/>
      <c r="G33" s="93"/>
      <c r="H33" s="74">
        <f>I33/J33</f>
        <v>0</v>
      </c>
      <c r="I33" s="75">
        <f>I34+I37+I40+I43</f>
        <v>0</v>
      </c>
      <c r="J33" s="75">
        <f>J34+J37+J40+J43</f>
        <v>205.12820512820511</v>
      </c>
    </row>
    <row r="34" spans="1:15" ht="32.25" customHeight="1">
      <c r="A34" s="13"/>
      <c r="B34" s="77" t="s">
        <v>43</v>
      </c>
      <c r="C34" s="78" t="str">
        <f>'12.lan'!D138</f>
        <v>Menschenwürde am Arbeitsplatz</v>
      </c>
      <c r="D34" s="79">
        <f>IF(K34="trifft nicht zu",C85,'9. Weighting'!M30)</f>
        <v>1</v>
      </c>
      <c r="E34" s="94" t="str">
        <f>VLOOKUP(D34,$C$81:$D$85,2,FALSE)</f>
        <v>mittel</v>
      </c>
      <c r="F34" s="90">
        <f>IF(K34="trifft nicht zu","trifft nicht zu",'9. Weighting'!M30)</f>
        <v>1</v>
      </c>
      <c r="G34" s="91"/>
      <c r="H34" s="82">
        <f>IF(J34&lt;&gt;0,ROUND(SUM(I35:I36)/J34,1),"-")</f>
        <v>0</v>
      </c>
      <c r="I34" s="83">
        <f>IF(J34=0,0,H34*J34)</f>
        <v>0</v>
      </c>
      <c r="J34" s="83">
        <f>'9. Weighting'!M29</f>
        <v>51.282051282051277</v>
      </c>
      <c r="K34" s="64" t="str">
        <f>IF(D35="trifft nicht zu","trifft nicht zu","")</f>
        <v/>
      </c>
      <c r="L34" s="11">
        <f>VLOOKUP(O34,$C$81:$E$85,3,FALSE)</f>
        <v>1</v>
      </c>
      <c r="M34" s="11">
        <f>VLOOKUP(D34,$C$81:$E$85,3,FALSE)</f>
        <v>1</v>
      </c>
      <c r="N34" s="84" t="str">
        <f>IF(L34=M34,"",'12.lan'!$D$240&amp;VLOOKUP(L34,$C$81:$D$85,2,FALSE)&amp;" ("&amp;L34&amp;")")</f>
        <v/>
      </c>
      <c r="O34" s="11">
        <f>IF(K34="trifft nicht zu",C85,'9. Weighting'!M30)</f>
        <v>1</v>
      </c>
    </row>
    <row r="35" spans="1:15" ht="30" customHeight="1">
      <c r="A35" s="13"/>
      <c r="B35" s="557" t="str">
        <f>B34</f>
        <v>C1</v>
      </c>
      <c r="C35" s="85" t="str">
        <f>C34</f>
        <v>Menschenwürde am Arbeitsplatz</v>
      </c>
      <c r="D35" s="531"/>
      <c r="E35" s="97"/>
      <c r="F35" s="86" t="str">
        <f>'12.lan'!$D$329</f>
        <v>Skalenwert eingeben: Wert muss im Bereich von 0 bis 10 liegen.</v>
      </c>
      <c r="G35" s="87"/>
      <c r="H35" s="88">
        <v>0</v>
      </c>
      <c r="I35" s="89">
        <f>IFERROR(J35*H35/10,0)</f>
        <v>0</v>
      </c>
      <c r="J35" s="89">
        <f>J34*K35/K35</f>
        <v>51.282051282051277</v>
      </c>
      <c r="K35" s="11">
        <v>1</v>
      </c>
      <c r="N35" s="84"/>
    </row>
    <row r="36" spans="1:15" ht="30" customHeight="1">
      <c r="A36" s="13"/>
      <c r="B36" s="558"/>
      <c r="C36" s="99" t="str">
        <f>'12.lan'!D142</f>
        <v>Negativ-Aspekt: Menschenunwürdige Arbeitsbedingungen</v>
      </c>
      <c r="D36" s="531"/>
      <c r="E36" s="97"/>
      <c r="F36" s="86" t="str">
        <f>'12.lan'!$D$330</f>
        <v>Negativpunkte eingeben: Werte müssen im Bereich von -200 bis 0 liegen.</v>
      </c>
      <c r="G36" s="87"/>
      <c r="H36" s="88">
        <v>0</v>
      </c>
      <c r="I36" s="89">
        <f>H36*J34/50</f>
        <v>0</v>
      </c>
      <c r="J36" s="89">
        <f>-200*J34/50</f>
        <v>-205.12820512820511</v>
      </c>
    </row>
    <row r="37" spans="1:15" ht="33" customHeight="1">
      <c r="A37" s="13"/>
      <c r="B37" s="77" t="s">
        <v>48</v>
      </c>
      <c r="C37" s="78" t="str">
        <f>'12.lan'!D143</f>
        <v>Ausgestaltung der Arbeitsverträge</v>
      </c>
      <c r="D37" s="79">
        <f>IF(K37="trifft nicht zu",C85,'9. Weighting'!N30)</f>
        <v>1</v>
      </c>
      <c r="E37" s="94" t="str">
        <f>VLOOKUP(D37,$C$81:$D$85,2,FALSE)</f>
        <v>mittel</v>
      </c>
      <c r="F37" s="90">
        <f>IF(K37="trifft nicht zu","trifft nicht zu",'9. Weighting'!N30)</f>
        <v>1</v>
      </c>
      <c r="G37" s="91"/>
      <c r="H37" s="82">
        <f>IF(J37&lt;&gt;0,ROUND(SUM(I38:I39)/J37,1),"-")</f>
        <v>0</v>
      </c>
      <c r="I37" s="83">
        <f>IF(J37=0,0,H37*J37)</f>
        <v>0</v>
      </c>
      <c r="J37" s="83">
        <f>'9. Weighting'!N29</f>
        <v>51.282051282051277</v>
      </c>
      <c r="K37" s="64" t="str">
        <f>IF(D38="trifft nicht zu","trifft nicht zu","")</f>
        <v/>
      </c>
      <c r="L37" s="11">
        <f>VLOOKUP(O37,$C$81:$E$85,3,FALSE)</f>
        <v>1</v>
      </c>
      <c r="M37" s="11">
        <f>VLOOKUP(D37,$C$81:$E$85,3,FALSE)</f>
        <v>1</v>
      </c>
      <c r="N37" s="84" t="str">
        <f>IF(L37=M37,"",'12.lan'!$D$240&amp;VLOOKUP(L37,$C$81:$D$85,2,FALSE)&amp;" ("&amp;L37&amp;")")</f>
        <v/>
      </c>
      <c r="O37" s="11">
        <f>IF(K37="trifft nicht zu",C85,'9. Weighting'!N30)</f>
        <v>1</v>
      </c>
    </row>
    <row r="38" spans="1:15" ht="30" customHeight="1">
      <c r="A38" s="13"/>
      <c r="B38" s="559" t="str">
        <f>B37</f>
        <v>C2</v>
      </c>
      <c r="C38" s="85" t="str">
        <f>C37</f>
        <v>Ausgestaltung der Arbeitsverträge</v>
      </c>
      <c r="D38" s="531"/>
      <c r="E38" s="97"/>
      <c r="F38" s="86" t="str">
        <f>'12.lan'!$D$329</f>
        <v>Skalenwert eingeben: Wert muss im Bereich von 0 bis 10 liegen.</v>
      </c>
      <c r="G38" s="87"/>
      <c r="H38" s="88">
        <v>0</v>
      </c>
      <c r="I38" s="89">
        <f>IFERROR(J38*H38/10,0)</f>
        <v>0</v>
      </c>
      <c r="J38" s="89">
        <f>J37*K38/K38</f>
        <v>51.282051282051277</v>
      </c>
      <c r="K38" s="11">
        <v>1</v>
      </c>
      <c r="N38" s="84"/>
    </row>
    <row r="39" spans="1:15" ht="33" customHeight="1">
      <c r="A39" s="13"/>
      <c r="B39" s="561"/>
      <c r="C39" s="99" t="str">
        <f>'12.lan'!D147</f>
        <v>Negativ-Aspekt: Ungerechte Ausgestaltung der Arbeitsverträge</v>
      </c>
      <c r="D39" s="531"/>
      <c r="E39" s="97"/>
      <c r="F39" s="86" t="str">
        <f>'12.lan'!$D$330</f>
        <v>Negativpunkte eingeben: Werte müssen im Bereich von -200 bis 0 liegen.</v>
      </c>
      <c r="G39" s="87"/>
      <c r="H39" s="88">
        <v>0</v>
      </c>
      <c r="I39" s="89">
        <f>H39*J37/50</f>
        <v>0</v>
      </c>
      <c r="J39" s="89">
        <f>-200*J37/50</f>
        <v>-205.12820512820511</v>
      </c>
    </row>
    <row r="40" spans="1:15" ht="33" customHeight="1">
      <c r="A40" s="13"/>
      <c r="B40" s="77" t="s">
        <v>53</v>
      </c>
      <c r="C40" s="78" t="str">
        <f>'12.lan'!D148</f>
        <v>Förderung des ökologischen Verhaltens der Mitarbeitenden</v>
      </c>
      <c r="D40" s="79">
        <f>IF(K40="trifft nicht zu",C85,'9. Weighting'!O30)</f>
        <v>1</v>
      </c>
      <c r="E40" s="94" t="str">
        <f>VLOOKUP(D40,$C$81:$D$85,2,FALSE)</f>
        <v>mittel</v>
      </c>
      <c r="F40" s="90">
        <f>IF(K40="trifft nicht zu","trifft nicht zu",'9. Weighting'!O30)</f>
        <v>1</v>
      </c>
      <c r="G40" s="91"/>
      <c r="H40" s="82">
        <f>IF(J40&lt;&gt;0,ROUND(SUM(I41:I42)/J40,1),"-")</f>
        <v>0</v>
      </c>
      <c r="I40" s="83">
        <f>IF(J40=0,0,H40*J40)</f>
        <v>0</v>
      </c>
      <c r="J40" s="83">
        <f>'9. Weighting'!O29</f>
        <v>51.282051282051277</v>
      </c>
      <c r="K40" s="64" t="str">
        <f>IF(D41="trifft nicht zu","trifft nicht zu","")</f>
        <v/>
      </c>
      <c r="L40" s="11">
        <f>VLOOKUP(O40,$C$81:$E$85,3,FALSE)</f>
        <v>1</v>
      </c>
      <c r="M40" s="11">
        <f>VLOOKUP(D40,$C$81:$E$85,3,FALSE)</f>
        <v>1</v>
      </c>
      <c r="N40" s="84" t="str">
        <f>IF(L40=M40,"",'12.lan'!$D$240&amp;VLOOKUP(L40,$C$81:$D$85,2,FALSE)&amp;" ("&amp;L40&amp;")")</f>
        <v/>
      </c>
      <c r="O40" s="11">
        <f>IF(K40="trifft nicht zu",C85,'9. Weighting'!O30)</f>
        <v>1</v>
      </c>
    </row>
    <row r="41" spans="1:15" ht="30" customHeight="1">
      <c r="A41" s="13"/>
      <c r="B41" s="559" t="str">
        <f>B40</f>
        <v>C3</v>
      </c>
      <c r="C41" s="85" t="str">
        <f>C40</f>
        <v>Förderung des ökologischen Verhaltens der Mitarbeitenden</v>
      </c>
      <c r="D41" s="531"/>
      <c r="E41" s="97"/>
      <c r="F41" s="86" t="str">
        <f>'12.lan'!$D$329</f>
        <v>Skalenwert eingeben: Wert muss im Bereich von 0 bis 10 liegen.</v>
      </c>
      <c r="G41" s="87"/>
      <c r="H41" s="88">
        <v>0</v>
      </c>
      <c r="I41" s="89">
        <f>IFERROR(J41*H41/10,0)</f>
        <v>0</v>
      </c>
      <c r="J41" s="89">
        <f>J40*K41/K41</f>
        <v>51.282051282051277</v>
      </c>
      <c r="K41" s="11">
        <v>1</v>
      </c>
      <c r="N41" s="84"/>
    </row>
    <row r="42" spans="1:15" ht="33.75" customHeight="1">
      <c r="A42" s="13"/>
      <c r="B42" s="561"/>
      <c r="C42" s="99" t="str">
        <f>'12.lan'!D152</f>
        <v>Negativ-Aspekt: Anleitung zur Verschwendung / Duldung unökologischen Verhaltens</v>
      </c>
      <c r="D42" s="531"/>
      <c r="E42" s="97"/>
      <c r="F42" s="86" t="str">
        <f>'12.lan'!$D$330</f>
        <v>Negativpunkte eingeben: Werte müssen im Bereich von -200 bis 0 liegen.</v>
      </c>
      <c r="G42" s="87"/>
      <c r="H42" s="88">
        <v>0</v>
      </c>
      <c r="I42" s="89">
        <f>H42*J40/50</f>
        <v>0</v>
      </c>
      <c r="J42" s="89">
        <f>-200*J40/50</f>
        <v>-205.12820512820511</v>
      </c>
    </row>
    <row r="43" spans="1:15" ht="33" customHeight="1">
      <c r="A43" s="13"/>
      <c r="B43" s="77" t="s">
        <v>58</v>
      </c>
      <c r="C43" s="78" t="str">
        <f>'12.lan'!D153</f>
        <v>Innerbetriebliche Mitentscheidung und Transparenz</v>
      </c>
      <c r="D43" s="79">
        <f>IF(K43="trifft nicht zu",C85,'9. Weighting'!P30)</f>
        <v>1</v>
      </c>
      <c r="E43" s="94" t="str">
        <f>VLOOKUP(D43,$C$81:$D$85,2,FALSE)</f>
        <v>mittel</v>
      </c>
      <c r="F43" s="90">
        <f>IF(K43="trifft nicht zu","trifft nicht zu",'9. Weighting'!P30)</f>
        <v>1</v>
      </c>
      <c r="G43" s="91"/>
      <c r="H43" s="82">
        <f>IF(J43&lt;&gt;0,ROUND(SUM(I44:I45)/J43,1),"-")</f>
        <v>0</v>
      </c>
      <c r="I43" s="83">
        <f>IF(J43=0,0,H43*J43)</f>
        <v>0</v>
      </c>
      <c r="J43" s="83">
        <f>'9. Weighting'!P29</f>
        <v>51.282051282051277</v>
      </c>
      <c r="K43" s="64" t="str">
        <f>IF(D44="trifft nicht zu","trifft nicht zu","")</f>
        <v/>
      </c>
      <c r="L43" s="11">
        <f>VLOOKUP(O43,$C$81:$E$85,3,FALSE)</f>
        <v>1</v>
      </c>
      <c r="M43" s="11">
        <f>VLOOKUP(D43,$C$81:$E$85,3,FALSE)</f>
        <v>1</v>
      </c>
      <c r="N43" s="84" t="str">
        <f>IF(L43=M43,"",'12.lan'!$D$240&amp;VLOOKUP(L43,$C$81:$D$85,2,FALSE)&amp;" ("&amp;L43&amp;")")</f>
        <v/>
      </c>
      <c r="O43" s="11">
        <f>IF(K43="trifft nicht zu",C85,'9. Weighting'!P30)</f>
        <v>1</v>
      </c>
    </row>
    <row r="44" spans="1:15" ht="30" customHeight="1">
      <c r="A44" s="13"/>
      <c r="B44" s="559" t="str">
        <f>B43</f>
        <v>C4</v>
      </c>
      <c r="C44" s="85" t="str">
        <f>C43</f>
        <v>Innerbetriebliche Mitentscheidung und Transparenz</v>
      </c>
      <c r="D44" s="531"/>
      <c r="E44" s="97"/>
      <c r="F44" s="86" t="str">
        <f>'12.lan'!$D$329</f>
        <v>Skalenwert eingeben: Wert muss im Bereich von 0 bis 10 liegen.</v>
      </c>
      <c r="G44" s="87"/>
      <c r="H44" s="88">
        <v>0</v>
      </c>
      <c r="I44" s="89">
        <f>IFERROR(J44*H44/10,0)</f>
        <v>0</v>
      </c>
      <c r="J44" s="89">
        <f>J43*K44/K44</f>
        <v>51.282051282051277</v>
      </c>
      <c r="K44" s="11">
        <v>1</v>
      </c>
      <c r="N44" s="84"/>
    </row>
    <row r="45" spans="1:15" ht="30" customHeight="1">
      <c r="A45" s="13"/>
      <c r="B45" s="561"/>
      <c r="C45" s="101" t="str">
        <f>'12.lan'!D157</f>
        <v>Negativ-Aspekt C4.4: Verhinderung des Betriebsrates</v>
      </c>
      <c r="D45" s="531"/>
      <c r="E45" s="97"/>
      <c r="F45" s="86" t="str">
        <f>'12.lan'!$D$330</f>
        <v>Negativpunkte eingeben: Werte müssen im Bereich von -200 bis 0 liegen.</v>
      </c>
      <c r="G45" s="87"/>
      <c r="H45" s="88">
        <v>0</v>
      </c>
      <c r="I45" s="89">
        <f>H45*J43/50</f>
        <v>0</v>
      </c>
      <c r="J45" s="89">
        <f>-200*J43/50</f>
        <v>-205.12820512820511</v>
      </c>
    </row>
    <row r="46" spans="1:15" ht="36" customHeight="1">
      <c r="A46" s="13"/>
      <c r="B46" s="73" t="s">
        <v>63</v>
      </c>
      <c r="C46" s="73" t="str">
        <f>'12.lan'!D158</f>
        <v>Kund*nnen und Mitunternehmen</v>
      </c>
      <c r="D46" s="92"/>
      <c r="E46" s="98"/>
      <c r="F46" s="93"/>
      <c r="G46" s="93"/>
      <c r="H46" s="74">
        <f>I46/J46</f>
        <v>0</v>
      </c>
      <c r="I46" s="75">
        <f>I47+I50+I53+I56</f>
        <v>0</v>
      </c>
      <c r="J46" s="75">
        <f>J47+J50+J53+J56</f>
        <v>205.12820512820511</v>
      </c>
    </row>
    <row r="47" spans="1:15" ht="33" customHeight="1">
      <c r="A47" s="13"/>
      <c r="B47" s="77" t="s">
        <v>64</v>
      </c>
      <c r="C47" s="78" t="str">
        <f>'12.lan'!D159</f>
        <v>Ethische Kund*innenbeziehungen</v>
      </c>
      <c r="D47" s="79">
        <f>IF(K47="trifft nicht zu",C85,'9. Weighting'!M37)</f>
        <v>1</v>
      </c>
      <c r="E47" s="94" t="str">
        <f>VLOOKUP(D47,$C$81:$D$85,2,FALSE)</f>
        <v>mittel</v>
      </c>
      <c r="F47" s="90">
        <f>IF(K47="trifft nicht zu","trifft nicht zu",'9. Weighting'!M37)</f>
        <v>1</v>
      </c>
      <c r="G47" s="91"/>
      <c r="H47" s="82">
        <f>IF(J47&lt;&gt;0,ROUND(SUM(I48:I49)/J47,1),"-")</f>
        <v>0</v>
      </c>
      <c r="I47" s="83">
        <f>IF(J47=0,0,H47*J47)</f>
        <v>0</v>
      </c>
      <c r="J47" s="83">
        <f>'9. Weighting'!M36</f>
        <v>51.282051282051277</v>
      </c>
      <c r="K47" s="64" t="str">
        <f>IF(D48="trifft nicht zu","trifft nicht zu","")</f>
        <v/>
      </c>
      <c r="L47" s="11">
        <f>VLOOKUP(O47,$C$81:$E$85,3,FALSE)</f>
        <v>1</v>
      </c>
      <c r="M47" s="11">
        <f>VLOOKUP(D47,$C$81:$E$85,3,FALSE)</f>
        <v>1</v>
      </c>
      <c r="N47" s="84" t="str">
        <f>IF(L47=M47,"",'12.lan'!$D$240&amp;VLOOKUP(L47,$C$81:$D$85,2,FALSE)&amp;" ("&amp;L47&amp;")")</f>
        <v/>
      </c>
      <c r="O47" s="11">
        <f>IF(K47="trifft nicht zu",C85,'9. Weighting'!M37)</f>
        <v>1</v>
      </c>
    </row>
    <row r="48" spans="1:15" ht="30" customHeight="1">
      <c r="A48" s="13"/>
      <c r="B48" s="557" t="str">
        <f>B47</f>
        <v>D1</v>
      </c>
      <c r="C48" s="85" t="str">
        <f>C47</f>
        <v>Ethische Kund*innenbeziehungen</v>
      </c>
      <c r="D48" s="531"/>
      <c r="E48" s="97"/>
      <c r="F48" s="86" t="str">
        <f>'12.lan'!$D$329</f>
        <v>Skalenwert eingeben: Wert muss im Bereich von 0 bis 10 liegen.</v>
      </c>
      <c r="G48" s="87"/>
      <c r="H48" s="88">
        <v>0</v>
      </c>
      <c r="I48" s="89">
        <f>IFERROR(J48*H48/10,0)</f>
        <v>0</v>
      </c>
      <c r="J48" s="89">
        <f>J47*K48/K48</f>
        <v>51.282051282051277</v>
      </c>
      <c r="K48" s="11">
        <v>1</v>
      </c>
      <c r="N48" s="84"/>
    </row>
    <row r="49" spans="1:15" ht="30" customHeight="1">
      <c r="A49" s="13"/>
      <c r="B49" s="563"/>
      <c r="C49" s="30" t="str">
        <f>'12.lan'!D162</f>
        <v>Negativ-Aspekt: Unethische Werbemaßnahmen</v>
      </c>
      <c r="D49" s="531"/>
      <c r="E49" s="97"/>
      <c r="F49" s="86" t="str">
        <f>'12.lan'!$D$330</f>
        <v>Negativpunkte eingeben: Werte müssen im Bereich von -200 bis 0 liegen.</v>
      </c>
      <c r="G49" s="87"/>
      <c r="H49" s="88">
        <v>0</v>
      </c>
      <c r="I49" s="89">
        <f>H49*J47/50</f>
        <v>0</v>
      </c>
      <c r="J49" s="89">
        <f>-200*J47/50</f>
        <v>-205.12820512820511</v>
      </c>
    </row>
    <row r="50" spans="1:15" ht="33" customHeight="1">
      <c r="A50" s="13"/>
      <c r="B50" s="77" t="s">
        <v>68</v>
      </c>
      <c r="C50" s="78" t="str">
        <f>'12.lan'!D163</f>
        <v>Kooperation und Solidarität mit Mitunternehmen</v>
      </c>
      <c r="D50" s="79">
        <f>IF(K50="trifft nicht zu",C85,'9. Weighting'!N37)</f>
        <v>1</v>
      </c>
      <c r="E50" s="94" t="str">
        <f>VLOOKUP(D50,$C$81:$D$85,2,FALSE)</f>
        <v>mittel</v>
      </c>
      <c r="F50" s="90">
        <f>IF(K50="trifft nicht zu","trifft nicht zu",'9. Weighting'!N37)</f>
        <v>1</v>
      </c>
      <c r="G50" s="91"/>
      <c r="H50" s="82">
        <f>IF(J50&lt;&gt;0,ROUND(SUM(I51:I52)/J50,1),"-")</f>
        <v>0</v>
      </c>
      <c r="I50" s="83">
        <f>IF(J50=0,0,H50*J50)</f>
        <v>0</v>
      </c>
      <c r="J50" s="83">
        <f>'9. Weighting'!N36</f>
        <v>51.282051282051277</v>
      </c>
      <c r="K50" s="64"/>
      <c r="L50" s="11">
        <f>VLOOKUP(O50,$C$81:$E$85,3,FALSE)</f>
        <v>1</v>
      </c>
      <c r="M50" s="11">
        <f>VLOOKUP(D50,$C$81:$E$85,3,FALSE)</f>
        <v>1</v>
      </c>
      <c r="N50" s="84" t="str">
        <f>IF(L50=M50,"",'12.lan'!$D$240&amp;VLOOKUP(L50,$C$81:$D$85,2,FALSE)&amp;" ("&amp;L50&amp;")")</f>
        <v/>
      </c>
      <c r="O50" s="11">
        <f>IF(K50="trifft nicht zu",C85,'9. Weighting'!N37)</f>
        <v>1</v>
      </c>
    </row>
    <row r="51" spans="1:15" ht="30" customHeight="1">
      <c r="A51" s="13"/>
      <c r="B51" s="557" t="str">
        <f>B50</f>
        <v>D2</v>
      </c>
      <c r="C51" s="85" t="str">
        <f>C50</f>
        <v>Kooperation und Solidarität mit Mitunternehmen</v>
      </c>
      <c r="D51" s="531"/>
      <c r="E51" s="97"/>
      <c r="F51" s="86" t="str">
        <f>'12.lan'!$D$329</f>
        <v>Skalenwert eingeben: Wert muss im Bereich von 0 bis 10 liegen.</v>
      </c>
      <c r="G51" s="87"/>
      <c r="H51" s="88">
        <v>0</v>
      </c>
      <c r="I51" s="89">
        <f>IFERROR(J51*H51/10,0)</f>
        <v>0</v>
      </c>
      <c r="J51" s="89">
        <f>J$50*K51/K51</f>
        <v>51.282051282051277</v>
      </c>
      <c r="K51" s="11">
        <v>1</v>
      </c>
      <c r="N51" s="84"/>
    </row>
    <row r="52" spans="1:15" ht="33.75" customHeight="1">
      <c r="A52" s="13"/>
      <c r="B52" s="558"/>
      <c r="C52" s="99" t="str">
        <f>'12.lan'!D166</f>
        <v>Negativ-Aspekt D2.3: Missbrauch der Marktmacht gegenüber Mitunternehmen</v>
      </c>
      <c r="D52" s="531"/>
      <c r="E52" s="97"/>
      <c r="F52" s="86" t="str">
        <f>'12.lan'!$D$330</f>
        <v>Negativpunkte eingeben: Werte müssen im Bereich von -200 bis 0 liegen.</v>
      </c>
      <c r="G52" s="102"/>
      <c r="H52" s="88">
        <v>0</v>
      </c>
      <c r="I52" s="89">
        <f>H52*J50/50</f>
        <v>0</v>
      </c>
      <c r="J52" s="89">
        <f>-200*J50/50</f>
        <v>-205.12820512820511</v>
      </c>
    </row>
    <row r="53" spans="1:15" ht="36" customHeight="1">
      <c r="A53" s="13"/>
      <c r="B53" s="77" t="s">
        <v>72</v>
      </c>
      <c r="C53" s="103" t="str">
        <f>'12.lan'!D167</f>
        <v>Ökologische Auswirkung durch Nutzung und Entsorgung von Produkten und Dienstleistungen</v>
      </c>
      <c r="D53" s="79">
        <f>IF(K53="trifft nicht zu",C85,'9. Weighting'!O37)</f>
        <v>1</v>
      </c>
      <c r="E53" s="94" t="str">
        <f>VLOOKUP(D53,$C$81:$D$85,2,FALSE)</f>
        <v>mittel</v>
      </c>
      <c r="F53" s="90">
        <f>IF(K53="trifft nicht zu","trifft nicht zu",'9. Weighting'!O37)</f>
        <v>1</v>
      </c>
      <c r="G53" s="104"/>
      <c r="H53" s="82">
        <f>IF(J53&lt;&gt;0,ROUND(SUM(I54:I55)/J53,1),"-")</f>
        <v>0</v>
      </c>
      <c r="I53" s="83">
        <f>IF(J53=0,0,H53*J53)</f>
        <v>0</v>
      </c>
      <c r="J53" s="83">
        <f>'9. Weighting'!O36</f>
        <v>51.282051282051277</v>
      </c>
      <c r="K53" s="64"/>
      <c r="L53" s="11">
        <f>VLOOKUP(O53,$C$81:$E$85,3,FALSE)</f>
        <v>1</v>
      </c>
      <c r="M53" s="11">
        <f>VLOOKUP(D53,$C$81:$E$85,3,FALSE)</f>
        <v>1</v>
      </c>
      <c r="N53" s="84" t="str">
        <f>IF(L53=M53,"",'12.lan'!$D$240&amp;VLOOKUP(L53,$C$81:$D$85,2,FALSE)&amp;" ("&amp;L53&amp;")")</f>
        <v/>
      </c>
      <c r="O53" s="11">
        <f>IF(K53="trifft nicht zu",C85,'9. Weighting'!O37)</f>
        <v>1</v>
      </c>
    </row>
    <row r="54" spans="1:15" ht="33.75" customHeight="1">
      <c r="A54" s="13"/>
      <c r="B54" s="557" t="s">
        <v>72</v>
      </c>
      <c r="C54" s="85" t="str">
        <f>C53</f>
        <v>Ökologische Auswirkung durch Nutzung und Entsorgung von Produkten und Dienstleistungen</v>
      </c>
      <c r="D54" s="531"/>
      <c r="E54" s="97"/>
      <c r="F54" s="86" t="str">
        <f>'12.lan'!$D$329</f>
        <v>Skalenwert eingeben: Wert muss im Bereich von 0 bis 10 liegen.</v>
      </c>
      <c r="G54" s="87"/>
      <c r="H54" s="88">
        <v>0</v>
      </c>
      <c r="I54" s="89">
        <f>IFERROR(J54*H54/10,0)</f>
        <v>0</v>
      </c>
      <c r="J54" s="89">
        <f>J53*K54/K54</f>
        <v>51.282051282051277</v>
      </c>
      <c r="K54" s="11">
        <v>1</v>
      </c>
      <c r="N54" s="84"/>
    </row>
    <row r="55" spans="1:15" ht="33" customHeight="1">
      <c r="A55" s="13"/>
      <c r="B55" s="558"/>
      <c r="C55" s="99" t="str">
        <f>'12.lan'!D170</f>
        <v>Negativ-Aspekt: Bewusste Inkaufnahme unverhältnismäßiger, ökologischer Auswirkungen</v>
      </c>
      <c r="D55" s="531"/>
      <c r="E55" s="97"/>
      <c r="F55" s="86" t="str">
        <f>'12.lan'!$D$330</f>
        <v>Negativpunkte eingeben: Werte müssen im Bereich von -200 bis 0 liegen.</v>
      </c>
      <c r="G55" s="87"/>
      <c r="H55" s="88">
        <v>0</v>
      </c>
      <c r="I55" s="89">
        <f>H55*J53/50</f>
        <v>0</v>
      </c>
      <c r="J55" s="89">
        <f>-200*J53/50</f>
        <v>-205.12820512820511</v>
      </c>
    </row>
    <row r="56" spans="1:15" ht="33" customHeight="1">
      <c r="A56" s="13"/>
      <c r="B56" s="77" t="s">
        <v>76</v>
      </c>
      <c r="C56" s="78" t="str">
        <f>'12.lan'!D171</f>
        <v>Kund*innen-Mitwirkung und Produkttransparenz</v>
      </c>
      <c r="D56" s="79">
        <f>IF(K56="trifft nicht zu",C85,'9. Weighting'!P37)</f>
        <v>1</v>
      </c>
      <c r="E56" s="94" t="str">
        <f>VLOOKUP(D56,$C$81:$D$85,2,FALSE)</f>
        <v>mittel</v>
      </c>
      <c r="F56" s="90">
        <f>IF(K56="trifft nicht zu","trifft nicht zu",'9. Weighting'!P37)</f>
        <v>1</v>
      </c>
      <c r="G56" s="91"/>
      <c r="H56" s="82">
        <f>IF(J56&lt;&gt;0,ROUND(SUM(I57:I58)/J56,1),"-")</f>
        <v>0</v>
      </c>
      <c r="I56" s="83">
        <f>IF(J56=0,0,H56*J56)</f>
        <v>0</v>
      </c>
      <c r="J56" s="83">
        <f>'9. Weighting'!P36</f>
        <v>51.282051282051277</v>
      </c>
      <c r="K56" s="64"/>
      <c r="L56" s="11">
        <f>VLOOKUP(O56,$C$81:$E$85,3,FALSE)</f>
        <v>1</v>
      </c>
      <c r="M56" s="11">
        <f>VLOOKUP(D56,$C$81:$E$85,3,FALSE)</f>
        <v>1</v>
      </c>
      <c r="N56" s="84" t="str">
        <f>IF(L56=M56,"",'12.lan'!$D$240&amp;VLOOKUP(L56,$C$81:$D$85,2,FALSE)&amp;" ("&amp;L56&amp;")")</f>
        <v/>
      </c>
      <c r="O56" s="11">
        <f>IF(K56="trifft nicht zu",C85,'9. Weighting'!P37)</f>
        <v>1</v>
      </c>
    </row>
    <row r="57" spans="1:15" ht="33.75" customHeight="1">
      <c r="A57" s="13"/>
      <c r="B57" s="557" t="str">
        <f>B56</f>
        <v>D4</v>
      </c>
      <c r="C57" s="85" t="str">
        <f>C56</f>
        <v>Kund*innen-Mitwirkung und Produkttransparenz</v>
      </c>
      <c r="D57" s="531"/>
      <c r="E57" s="97"/>
      <c r="F57" s="86" t="str">
        <f>'12.lan'!$D$329</f>
        <v>Skalenwert eingeben: Wert muss im Bereich von 0 bis 10 liegen.</v>
      </c>
      <c r="G57" s="87"/>
      <c r="H57" s="88">
        <v>0</v>
      </c>
      <c r="I57" s="89">
        <f>IFERROR(J57*H57/10,0)</f>
        <v>0</v>
      </c>
      <c r="J57" s="89">
        <f>J56*K57/K57</f>
        <v>51.282051282051277</v>
      </c>
      <c r="K57" s="11">
        <v>1</v>
      </c>
      <c r="N57" s="84"/>
    </row>
    <row r="58" spans="1:15" ht="30" customHeight="1">
      <c r="A58" s="13"/>
      <c r="B58" s="558"/>
      <c r="C58" s="99" t="str">
        <f>'12.lan'!D174</f>
        <v>Negativ-Aspekt: Kein Ausweis von Gefahrenstoffen</v>
      </c>
      <c r="D58" s="531"/>
      <c r="E58" s="97"/>
      <c r="F58" s="86" t="str">
        <f>'12.lan'!$D$330</f>
        <v>Negativpunkte eingeben: Werte müssen im Bereich von -200 bis 0 liegen.</v>
      </c>
      <c r="G58" s="87"/>
      <c r="H58" s="88">
        <v>0</v>
      </c>
      <c r="I58" s="89">
        <f>H58*J56/50</f>
        <v>0</v>
      </c>
      <c r="J58" s="89">
        <f>-200*J56/50</f>
        <v>-205.12820512820511</v>
      </c>
    </row>
    <row r="59" spans="1:15" ht="36" customHeight="1">
      <c r="A59" s="13"/>
      <c r="B59" s="73" t="s">
        <v>79</v>
      </c>
      <c r="C59" s="73" t="str">
        <f>'12.lan'!D175</f>
        <v>Gesellschaftliches Umfeld</v>
      </c>
      <c r="D59" s="92"/>
      <c r="E59" s="98"/>
      <c r="F59" s="93"/>
      <c r="G59" s="93"/>
      <c r="H59" s="74">
        <f>I59/J59</f>
        <v>0</v>
      </c>
      <c r="I59" s="75">
        <f>I60+I63+I67+I70</f>
        <v>0</v>
      </c>
      <c r="J59" s="75">
        <f>J60+J63+J67+J70</f>
        <v>205.12820512820511</v>
      </c>
    </row>
    <row r="60" spans="1:15" ht="36" customHeight="1">
      <c r="A60" s="13"/>
      <c r="B60" s="77" t="s">
        <v>80</v>
      </c>
      <c r="C60" s="103" t="str">
        <f>'12.lan'!D176</f>
        <v>Sinn und gesellschaftliche Wirkung der Produkte und Dienstleistungen</v>
      </c>
      <c r="D60" s="79">
        <f>IF(K60="trifft nicht zu",C85,'9. Weighting'!M43)</f>
        <v>1</v>
      </c>
      <c r="E60" s="94" t="str">
        <f>VLOOKUP(D60,$C$81:$D$85,2,FALSE)</f>
        <v>mittel</v>
      </c>
      <c r="F60" s="105">
        <f>IF(K60="trifft nicht zu","trifft nicht zu",'9. Weighting'!M43)</f>
        <v>1</v>
      </c>
      <c r="G60" s="106"/>
      <c r="H60" s="82">
        <f>IF(J60&lt;&gt;0,ROUND(SUM(I61:I62)/J60,1),"-")</f>
        <v>0</v>
      </c>
      <c r="I60" s="83">
        <f>IF(J60=0,0,H60*J60)</f>
        <v>0</v>
      </c>
      <c r="J60" s="83">
        <f>'9. Weighting'!M42</f>
        <v>51.282051282051277</v>
      </c>
      <c r="K60" s="64"/>
      <c r="L60" s="11">
        <f>VLOOKUP(O60,$C$81:$E$85,3,FALSE)</f>
        <v>1</v>
      </c>
      <c r="M60" s="11">
        <f>VLOOKUP(D60,$C$81:$E$85,3,FALSE)</f>
        <v>1</v>
      </c>
      <c r="N60" s="84" t="str">
        <f>IF(L60=M60,"",'12.lan'!$D$240&amp;VLOOKUP(L60,$C$81:$D$85,2,FALSE)&amp;" ("&amp;L60&amp;")")</f>
        <v/>
      </c>
      <c r="O60" s="11">
        <f>IF(K60="trifft nicht zu",C85,'9. Weighting'!M43)</f>
        <v>1</v>
      </c>
    </row>
    <row r="61" spans="1:15" ht="34.5" customHeight="1">
      <c r="A61" s="13"/>
      <c r="B61" s="557" t="str">
        <f>B60</f>
        <v>E1</v>
      </c>
      <c r="C61" s="85" t="str">
        <f>C60</f>
        <v>Sinn und gesellschaftliche Wirkung der Produkte und Dienstleistungen</v>
      </c>
      <c r="D61" s="531"/>
      <c r="E61" s="97"/>
      <c r="F61" s="86" t="str">
        <f>'12.lan'!$D$329</f>
        <v>Skalenwert eingeben: Wert muss im Bereich von 0 bis 10 liegen.</v>
      </c>
      <c r="G61" s="87"/>
      <c r="H61" s="88">
        <v>0</v>
      </c>
      <c r="I61" s="89">
        <f>IFERROR(J61*H61/10,0)</f>
        <v>0</v>
      </c>
      <c r="J61" s="89">
        <f>J60*K61/K61</f>
        <v>51.282051282051277</v>
      </c>
      <c r="K61" s="11">
        <v>1</v>
      </c>
      <c r="N61" s="84"/>
    </row>
    <row r="62" spans="1:15" ht="30" customHeight="1">
      <c r="A62" s="13"/>
      <c r="B62" s="558"/>
      <c r="C62" s="99" t="str">
        <f>'12.lan'!D179</f>
        <v>Negativ-Aspekt: Menschenunwürdige Produkte und Dienstleistungen</v>
      </c>
      <c r="D62" s="531"/>
      <c r="E62" s="97"/>
      <c r="F62" s="86" t="str">
        <f>'12.lan'!$D$330</f>
        <v>Negativpunkte eingeben: Werte müssen im Bereich von -200 bis 0 liegen.</v>
      </c>
      <c r="G62" s="87"/>
      <c r="H62" s="88">
        <v>0</v>
      </c>
      <c r="I62" s="89">
        <f>H62*J60/50</f>
        <v>0</v>
      </c>
      <c r="J62" s="89">
        <f>-200*J60/50</f>
        <v>-205.12820512820511</v>
      </c>
    </row>
    <row r="63" spans="1:15" ht="33" customHeight="1">
      <c r="A63" s="13"/>
      <c r="B63" s="77" t="s">
        <v>84</v>
      </c>
      <c r="C63" s="103" t="str">
        <f>'12.lan'!D180</f>
        <v>Beitrag zum Gemeinwesen</v>
      </c>
      <c r="D63" s="79">
        <f>IF(K63="trifft nicht zu",C85,'9. Weighting'!N43)</f>
        <v>1</v>
      </c>
      <c r="E63" s="94" t="str">
        <f>VLOOKUP(D63,$C$81:$D$85,2,FALSE)</f>
        <v>mittel</v>
      </c>
      <c r="F63" s="105">
        <f>IF(K63="trifft nicht zu","trifft nicht zu",'9. Weighting'!N43)</f>
        <v>1</v>
      </c>
      <c r="G63" s="106"/>
      <c r="H63" s="82">
        <f>IF(J63&lt;&gt;0,ROUND(SUM(I64:I66)/J63,1),"-")</f>
        <v>0</v>
      </c>
      <c r="I63" s="83">
        <f>IF(J63=0,0,H63*J63)</f>
        <v>0</v>
      </c>
      <c r="J63" s="83">
        <f>'9. Weighting'!N42</f>
        <v>51.282051282051277</v>
      </c>
      <c r="K63" s="64"/>
      <c r="L63" s="11">
        <f>VLOOKUP(O63,$C$81:$E$85,3,FALSE)</f>
        <v>1</v>
      </c>
      <c r="M63" s="11">
        <f>VLOOKUP(D63,$C$81:$E$85,3,FALSE)</f>
        <v>1</v>
      </c>
      <c r="N63" s="84" t="str">
        <f>IF(L63=M63,"",'12.lan'!$D$240&amp;VLOOKUP(L63,$C$81:$D$85,2,FALSE)&amp;" ("&amp;L63&amp;")")</f>
        <v/>
      </c>
      <c r="O63" s="11">
        <f>IF(K63="trifft nicht zu",C85,'9. Weighting'!N43)</f>
        <v>1</v>
      </c>
    </row>
    <row r="64" spans="1:15" ht="30" customHeight="1">
      <c r="A64" s="13"/>
      <c r="B64" s="559" t="str">
        <f>B63</f>
        <v>E2</v>
      </c>
      <c r="C64" s="96" t="str">
        <f>C63</f>
        <v>Beitrag zum Gemeinwesen</v>
      </c>
      <c r="D64" s="531"/>
      <c r="E64" s="97"/>
      <c r="F64" s="86" t="str">
        <f>'12.lan'!$D$329</f>
        <v>Skalenwert eingeben: Wert muss im Bereich von 0 bis 10 liegen.</v>
      </c>
      <c r="G64" s="87"/>
      <c r="H64" s="88">
        <v>0</v>
      </c>
      <c r="I64" s="89">
        <f>IFERROR(J64*H64/10,0)</f>
        <v>0</v>
      </c>
      <c r="J64" s="89">
        <f>J63*K64/K64</f>
        <v>51.282051282051277</v>
      </c>
      <c r="K64" s="11">
        <v>1</v>
      </c>
      <c r="N64" s="84"/>
    </row>
    <row r="65" spans="1:15" ht="30" customHeight="1">
      <c r="A65" s="13"/>
      <c r="B65" s="560"/>
      <c r="C65" s="100" t="str">
        <f>'12.lan'!D183</f>
        <v>Negativ-Aspekt: Illegitime Steuervermeidung</v>
      </c>
      <c r="D65" s="531"/>
      <c r="E65" s="97"/>
      <c r="F65" s="86" t="str">
        <f>'12.lan'!$D$330</f>
        <v>Negativpunkte eingeben: Werte müssen im Bereich von -200 bis 0 liegen.</v>
      </c>
      <c r="G65" s="87"/>
      <c r="H65" s="88">
        <v>0</v>
      </c>
      <c r="I65" s="89">
        <f>H65*J63/50</f>
        <v>0</v>
      </c>
      <c r="J65" s="89">
        <f>-200*J63/50</f>
        <v>-205.12820512820511</v>
      </c>
    </row>
    <row r="66" spans="1:15" ht="30" customHeight="1">
      <c r="A66" s="13"/>
      <c r="B66" s="561"/>
      <c r="C66" s="100" t="str">
        <f>'12.lan'!D184</f>
        <v>Negativ-Aspekt: Mangelnde Korruptionsprävention</v>
      </c>
      <c r="D66" s="531"/>
      <c r="E66" s="97"/>
      <c r="F66" s="86" t="str">
        <f>'12.lan'!$D$330</f>
        <v>Negativpunkte eingeben: Werte müssen im Bereich von -200 bis 0 liegen.</v>
      </c>
      <c r="G66" s="87"/>
      <c r="H66" s="88">
        <v>0</v>
      </c>
      <c r="I66" s="89">
        <f>H66*J63/50</f>
        <v>0</v>
      </c>
      <c r="J66" s="89">
        <f>-200*J63/50</f>
        <v>-205.12820512820511</v>
      </c>
    </row>
    <row r="67" spans="1:15" ht="33" customHeight="1">
      <c r="A67" s="13"/>
      <c r="B67" s="77" t="s">
        <v>89</v>
      </c>
      <c r="C67" s="78" t="str">
        <f>'12.lan'!D185</f>
        <v>Reduktion ökologischer Auswirkungen</v>
      </c>
      <c r="D67" s="79">
        <f>IF(K67="trifft nicht zu",C85,'9. Weighting'!O43)</f>
        <v>1</v>
      </c>
      <c r="E67" s="94" t="str">
        <f>VLOOKUP(D67,$C$81:$D$85,2,FALSE)</f>
        <v>mittel</v>
      </c>
      <c r="F67" s="91"/>
      <c r="G67" s="91"/>
      <c r="H67" s="82">
        <f>IF(J67&lt;&gt;0,ROUND(SUM(I68:I69)/J67,1),"-")</f>
        <v>0</v>
      </c>
      <c r="I67" s="83">
        <f>IF(J67=0,0,H67*J67)</f>
        <v>0</v>
      </c>
      <c r="J67" s="83">
        <f>'9. Weighting'!O42</f>
        <v>51.282051282051277</v>
      </c>
      <c r="K67" s="64"/>
      <c r="L67" s="11">
        <f>VLOOKUP(O67,$C$81:$E$85,3,FALSE)</f>
        <v>1</v>
      </c>
      <c r="M67" s="11">
        <f>VLOOKUP(D67,$C$81:$E$85,3,FALSE)</f>
        <v>1</v>
      </c>
      <c r="N67" s="84" t="str">
        <f>IF(L67=M67,"",'12.lan'!$D$240&amp;VLOOKUP(L67,$C$81:$D$85,2,FALSE)&amp;" ("&amp;L67&amp;")")</f>
        <v/>
      </c>
      <c r="O67" s="11">
        <f>IF(K67="trifft nicht zu",C85,'9. Weighting'!O43)</f>
        <v>1</v>
      </c>
    </row>
    <row r="68" spans="1:15" ht="30" customHeight="1">
      <c r="A68" s="13"/>
      <c r="B68" s="559" t="str">
        <f>B67</f>
        <v>E3</v>
      </c>
      <c r="C68" s="85" t="str">
        <f>C67</f>
        <v>Reduktion ökologischer Auswirkungen</v>
      </c>
      <c r="D68" s="531"/>
      <c r="E68" s="97"/>
      <c r="F68" s="86" t="str">
        <f>'12.lan'!$D$329</f>
        <v>Skalenwert eingeben: Wert muss im Bereich von 0 bis 10 liegen.</v>
      </c>
      <c r="G68" s="87"/>
      <c r="H68" s="88">
        <v>0</v>
      </c>
      <c r="I68" s="89">
        <f>IFERROR(J68*H68/10,0)</f>
        <v>0</v>
      </c>
      <c r="J68" s="89">
        <f>J67*K68/K68</f>
        <v>51.282051282051277</v>
      </c>
      <c r="K68" s="11">
        <v>1</v>
      </c>
      <c r="N68" s="84"/>
    </row>
    <row r="69" spans="1:15" ht="33" customHeight="1">
      <c r="A69" s="13"/>
      <c r="B69" s="561"/>
      <c r="C69" s="99" t="str">
        <f>'12.lan'!D188</f>
        <v>Negativ-Aspekt: Verstöße gegen Umweltauflagen sowie unangemessene Umweltbelastungen</v>
      </c>
      <c r="D69" s="531"/>
      <c r="E69" s="97"/>
      <c r="F69" s="86" t="str">
        <f>'12.lan'!$D$330</f>
        <v>Negativpunkte eingeben: Werte müssen im Bereich von -200 bis 0 liegen.</v>
      </c>
      <c r="G69" s="87"/>
      <c r="H69" s="88">
        <v>0</v>
      </c>
      <c r="I69" s="89">
        <f>H69*J67/50</f>
        <v>0</v>
      </c>
      <c r="J69" s="89">
        <f>-200*J67/50</f>
        <v>-205.12820512820511</v>
      </c>
    </row>
    <row r="70" spans="1:15" ht="33" customHeight="1">
      <c r="A70" s="13"/>
      <c r="B70" s="77" t="s">
        <v>93</v>
      </c>
      <c r="C70" s="78" t="str">
        <f>'12.lan'!D189</f>
        <v>Transparenz und gesellschaftliche Mitentscheidung</v>
      </c>
      <c r="D70" s="79">
        <f>IF(K70="trifft nicht zu",C85,'9. Weighting'!P43)</f>
        <v>1</v>
      </c>
      <c r="E70" s="94" t="str">
        <f>VLOOKUP(D70,$C$81:$D$85,2,FALSE)</f>
        <v>mittel</v>
      </c>
      <c r="F70" s="91"/>
      <c r="G70" s="91"/>
      <c r="H70" s="82">
        <f>IF(J70&lt;&gt;0,ROUND(SUM(I71:I72)/J70,1),"-")</f>
        <v>0</v>
      </c>
      <c r="I70" s="83">
        <f>IF(J70=0,0,H70*J70)</f>
        <v>0</v>
      </c>
      <c r="J70" s="83">
        <f>'9. Weighting'!P42</f>
        <v>51.282051282051277</v>
      </c>
      <c r="K70" s="64"/>
      <c r="L70" s="11">
        <f>VLOOKUP(O70,$C$81:$E$85,3,FALSE)</f>
        <v>1</v>
      </c>
      <c r="M70" s="11">
        <f>VLOOKUP(D70,$C$81:$E$85,3,FALSE)</f>
        <v>1</v>
      </c>
      <c r="N70" s="84" t="str">
        <f>IF(L70=M70,"",'12.lan'!$D$240&amp;VLOOKUP(L70,$C$81:$D$85,2,FALSE)&amp;" ("&amp;L70&amp;")")</f>
        <v/>
      </c>
      <c r="O70" s="11">
        <f>IF(K70="trifft nicht zu",C85,'9. Weighting'!P43)</f>
        <v>1</v>
      </c>
    </row>
    <row r="71" spans="1:15" ht="30" customHeight="1">
      <c r="A71" s="13"/>
      <c r="B71" s="559" t="str">
        <f>B70</f>
        <v>E4</v>
      </c>
      <c r="C71" s="85" t="str">
        <f>C70</f>
        <v>Transparenz und gesellschaftliche Mitentscheidung</v>
      </c>
      <c r="D71" s="531"/>
      <c r="E71" s="97"/>
      <c r="F71" s="86" t="str">
        <f>'12.lan'!$D$329</f>
        <v>Skalenwert eingeben: Wert muss im Bereich von 0 bis 10 liegen.</v>
      </c>
      <c r="G71" s="87"/>
      <c r="H71" s="88">
        <v>0</v>
      </c>
      <c r="I71" s="89">
        <f>IFERROR(J71*H71/10,0)</f>
        <v>0</v>
      </c>
      <c r="J71" s="89">
        <f>J70*K71/K71</f>
        <v>51.282051282051277</v>
      </c>
      <c r="K71" s="11">
        <v>1</v>
      </c>
      <c r="N71" s="84"/>
    </row>
    <row r="72" spans="1:15" ht="33.75" customHeight="1">
      <c r="A72" s="13"/>
      <c r="B72" s="562"/>
      <c r="C72" s="85" t="str">
        <f>'12.lan'!D192</f>
        <v>Negativ-Aspekt: Förderung von Intransparenz und bewusste Fehlinformation</v>
      </c>
      <c r="D72" s="531"/>
      <c r="E72" s="97"/>
      <c r="F72" s="86" t="str">
        <f>'12.lan'!$D$330</f>
        <v>Negativpunkte eingeben: Werte müssen im Bereich von -200 bis 0 liegen.</v>
      </c>
      <c r="G72" s="87"/>
      <c r="H72" s="88">
        <v>0</v>
      </c>
      <c r="I72" s="89">
        <f>H72*J70/50</f>
        <v>0</v>
      </c>
      <c r="J72" s="89">
        <f>-200*J70/50</f>
        <v>-205.12820512820511</v>
      </c>
    </row>
    <row r="73" spans="1:15" ht="12.75" customHeight="1">
      <c r="A73" s="13"/>
      <c r="B73" s="14"/>
      <c r="C73" s="22"/>
      <c r="D73" s="56"/>
      <c r="E73" s="56"/>
      <c r="F73" s="14"/>
      <c r="G73" s="14"/>
      <c r="H73" s="56"/>
      <c r="I73" s="57"/>
      <c r="J73" s="58"/>
    </row>
    <row r="74" spans="1:15" ht="18.75" customHeight="1">
      <c r="A74" s="13"/>
      <c r="B74" s="574" t="str">
        <f>'12.lan'!D92</f>
        <v>BILANZSUMME:</v>
      </c>
      <c r="C74" s="574"/>
      <c r="D74" s="574"/>
      <c r="E74" s="574"/>
      <c r="F74" s="574"/>
      <c r="G74" s="574"/>
      <c r="H74" s="575">
        <f>H4</f>
        <v>0</v>
      </c>
      <c r="I74" s="576">
        <f>I4</f>
        <v>0</v>
      </c>
      <c r="J74" s="576">
        <f>J4</f>
        <v>1000</v>
      </c>
    </row>
    <row r="75" spans="1:15" ht="18" customHeight="1">
      <c r="A75" s="13"/>
      <c r="B75" s="574"/>
      <c r="C75" s="574"/>
      <c r="D75" s="574"/>
      <c r="E75" s="574"/>
      <c r="F75" s="574"/>
      <c r="G75" s="574"/>
      <c r="H75" s="575"/>
      <c r="I75" s="576"/>
      <c r="J75" s="576"/>
    </row>
    <row r="81" spans="2:5" ht="12.75" hidden="1" customHeight="1">
      <c r="B81" s="51">
        <v>2</v>
      </c>
      <c r="C81" s="52">
        <v>2</v>
      </c>
      <c r="D81" s="53" t="str">
        <f>'12.lan'!D97</f>
        <v>sehr hoch</v>
      </c>
      <c r="E81" s="54">
        <v>2</v>
      </c>
    </row>
    <row r="82" spans="2:5" ht="12.75" hidden="1" customHeight="1">
      <c r="B82" s="51">
        <v>1.5</v>
      </c>
      <c r="C82" s="52">
        <v>1.5</v>
      </c>
      <c r="D82" s="53" t="str">
        <f>'12.lan'!D98</f>
        <v>hoch</v>
      </c>
      <c r="E82" s="107">
        <v>1.5</v>
      </c>
    </row>
    <row r="83" spans="2:5" ht="12.75" hidden="1" customHeight="1">
      <c r="B83" s="51">
        <v>1</v>
      </c>
      <c r="C83" s="52">
        <v>1</v>
      </c>
      <c r="D83" s="53" t="str">
        <f>'12.lan'!D99</f>
        <v>mittel</v>
      </c>
      <c r="E83" s="54">
        <v>1</v>
      </c>
    </row>
    <row r="84" spans="2:5" ht="12.75" hidden="1" customHeight="1">
      <c r="B84" s="51">
        <v>0.5</v>
      </c>
      <c r="C84" s="52">
        <v>0.5</v>
      </c>
      <c r="D84" s="53" t="str">
        <f>'12.lan'!D100</f>
        <v>niedrig</v>
      </c>
      <c r="E84" s="107">
        <v>0.5</v>
      </c>
    </row>
    <row r="85" spans="2:5" ht="12.75" hidden="1" customHeight="1">
      <c r="B85" s="51">
        <v>0</v>
      </c>
      <c r="C85" s="52">
        <v>0</v>
      </c>
      <c r="D85" s="53" t="str">
        <f>'12.lan'!D101</f>
        <v>trifft nicht zu</v>
      </c>
      <c r="E85" s="54">
        <v>0</v>
      </c>
    </row>
    <row r="86" spans="2:5" ht="12.75" hidden="1" customHeight="1"/>
  </sheetData>
  <sheetProtection algorithmName="SHA-512" hashValue="Jweo3/l1aPhIOkhS3oEuVGTZqMy/cPjI65NoBAVxnMXnh6FZtzX8DfDvK/N39wa+ippqurciXYoprd9TramJDA==" saltValue="Sep9pM+NilJDSj+U2ghDyw==" spinCount="100000" sheet="1" selectLockedCells="1"/>
  <mergeCells count="33">
    <mergeCell ref="B7:J7"/>
    <mergeCell ref="D8:E8"/>
    <mergeCell ref="C9:G9"/>
    <mergeCell ref="B74:G75"/>
    <mergeCell ref="H74:H75"/>
    <mergeCell ref="I74:I75"/>
    <mergeCell ref="J74:J75"/>
    <mergeCell ref="B11:B12"/>
    <mergeCell ref="B14:B15"/>
    <mergeCell ref="B17:B18"/>
    <mergeCell ref="B25:B26"/>
    <mergeCell ref="B28:B29"/>
    <mergeCell ref="B31:B32"/>
    <mergeCell ref="B35:B36"/>
    <mergeCell ref="B38:B39"/>
    <mergeCell ref="B41:B42"/>
    <mergeCell ref="B2:C2"/>
    <mergeCell ref="H2:J3"/>
    <mergeCell ref="B3:D4"/>
    <mergeCell ref="F4:F5"/>
    <mergeCell ref="H4:H5"/>
    <mergeCell ref="I4:I5"/>
    <mergeCell ref="J4:J5"/>
    <mergeCell ref="B5:D5"/>
    <mergeCell ref="B61:B62"/>
    <mergeCell ref="B64:B66"/>
    <mergeCell ref="B68:B69"/>
    <mergeCell ref="B71:B72"/>
    <mergeCell ref="B44:B45"/>
    <mergeCell ref="B48:B49"/>
    <mergeCell ref="B51:B52"/>
    <mergeCell ref="B54:B55"/>
    <mergeCell ref="B57:B58"/>
  </mergeCells>
  <conditionalFormatting sqref="H4:H5">
    <cfRule type="cellIs" dxfId="14" priority="8" operator="lessThan">
      <formula>0</formula>
    </cfRule>
  </conditionalFormatting>
  <conditionalFormatting sqref="H9">
    <cfRule type="cellIs" dxfId="13" priority="7" operator="lessThan">
      <formula>0</formula>
    </cfRule>
  </conditionalFormatting>
  <conditionalFormatting sqref="H10">
    <cfRule type="cellIs" dxfId="12" priority="6" operator="lessThan">
      <formula>0</formula>
    </cfRule>
  </conditionalFormatting>
  <conditionalFormatting sqref="H13">
    <cfRule type="cellIs" dxfId="11" priority="5" operator="lessThan">
      <formula>0</formula>
    </cfRule>
  </conditionalFormatting>
  <conditionalFormatting sqref="H16">
    <cfRule type="cellIs" dxfId="10" priority="4" operator="lessThan">
      <formula>0</formula>
    </cfRule>
  </conditionalFormatting>
  <conditionalFormatting sqref="H19">
    <cfRule type="cellIs" dxfId="9" priority="3" operator="lessThan">
      <formula>0</formula>
    </cfRule>
  </conditionalFormatting>
  <conditionalFormatting sqref="H21:H22 H24 H27 H30 H33:H34 H37 H40 H43 H46:H47 H50 H53 H56 H59:H60 H63 H67 H70">
    <cfRule type="cellIs" dxfId="8" priority="2" operator="lessThan">
      <formula>0</formula>
    </cfRule>
  </conditionalFormatting>
  <conditionalFormatting sqref="H74:H75">
    <cfRule type="cellIs" dxfId="7" priority="1" operator="lessThan">
      <formula>0</formula>
    </cfRule>
  </conditionalFormatting>
  <dataValidations count="4">
    <dataValidation type="list" operator="equal" allowBlank="1" showInputMessage="1" showErrorMessage="1" promptTitle="Gewichtung" sqref="D10 D27 D16 D24 D34 D30 D37 D40 D43 D47 D50 D53 D56 D60 D63 D67 D70 D13 D22 D19" xr:uid="{00000000-0002-0000-0300-000000000000}">
      <formula1>$C$81:$C$85</formula1>
      <formula2>0</formula2>
    </dataValidation>
    <dataValidation operator="equal" allowBlank="1" showInputMessage="1" showErrorMessage="1" promptTitle="Gewichtung" sqref="D18 D15 D32 D26:E26 D29 E60:E72 D36 D39 D42 D45 D49 D52 D55 D58 D62 D65:D66 D69 D72 E10:E20 E22:E24 E27:E32 E34:E45 E47:E58 D12" xr:uid="{00000000-0002-0000-0300-000001000000}">
      <formula1>0</formula1>
      <formula2>0</formula2>
    </dataValidation>
    <dataValidation type="decimal" allowBlank="1" showInputMessage="1" showErrorMessage="1" errorTitle="Value" error="Value has to be between 0 and 10." sqref="H11 H14 H17 H20 H23 H25 H28 H31 H35 H38 H41 H44 H48 H51 H54 H57 H61 H64 H68 H71" xr:uid="{A10DBD49-256E-45CA-B7CC-5D3E16AA09C5}">
      <formula1>0</formula1>
      <formula2>10</formula2>
    </dataValidation>
    <dataValidation type="decimal" allowBlank="1" showErrorMessage="1" errorTitle="Value" error="Value has to be between 0 and -200." sqref="H12 H15 H18 H26 H29 H32 H36 H39 H42 H45 H49 H52 H55 H58 H62 H65 H66 H69 H72" xr:uid="{B7BBDDBB-12E4-4FAC-92C1-C2FA20EB5D2F}">
      <formula1>-200</formula1>
      <formula2>0</formula2>
    </dataValidation>
  </dataValidations>
  <pageMargins left="0.43333333333333335" right="0.47222222222222221" top="0.39374999999999999" bottom="0.39374999999999999" header="0.51180555555555551" footer="0.51180555555555551"/>
  <pageSetup paperSize="9" firstPageNumber="0" fitToHeight="15"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0"/>
  <dimension ref="A1:Y163"/>
  <sheetViews>
    <sheetView zoomScale="75" zoomScaleNormal="75" workbookViewId="0">
      <pane xSplit="2" ySplit="9" topLeftCell="C31" activePane="bottomRight" state="frozen"/>
      <selection pane="topRight" activeCell="C1" sqref="C1"/>
      <selection pane="bottomLeft" activeCell="A30" sqref="A30"/>
      <selection pane="bottomRight" activeCell="S43" sqref="S43"/>
    </sheetView>
  </sheetViews>
  <sheetFormatPr baseColWidth="10" defaultColWidth="10.28515625" defaultRowHeight="12" customHeight="1"/>
  <cols>
    <col min="1" max="2" width="1.28515625" style="108" customWidth="1"/>
    <col min="3" max="4" width="2.28515625" style="108" customWidth="1"/>
    <col min="5" max="5" width="8.28515625" style="108" customWidth="1"/>
    <col min="6" max="6" width="40.85546875" style="108" customWidth="1"/>
    <col min="7" max="7" width="27.28515625" style="108" customWidth="1"/>
    <col min="8" max="8" width="17.28515625" style="108" customWidth="1"/>
    <col min="9" max="9" width="12.28515625" style="108" customWidth="1"/>
    <col min="10" max="10" width="36.28515625" style="108" customWidth="1"/>
    <col min="11" max="11" width="12.7109375" style="108" customWidth="1"/>
    <col min="12" max="12" width="3.28515625" style="108" customWidth="1"/>
    <col min="13" max="15" width="13.28515625" style="109" customWidth="1"/>
    <col min="16" max="16" width="14.28515625" style="109" customWidth="1"/>
    <col min="17" max="17" width="1.28515625" style="108" customWidth="1"/>
    <col min="18" max="18" width="10.28515625" style="108" customWidth="1"/>
    <col min="19" max="25" width="10.28515625" style="110" customWidth="1"/>
    <col min="26" max="16384" width="10.28515625" style="108"/>
  </cols>
  <sheetData>
    <row r="1" spans="1:18" ht="6.75" customHeight="1">
      <c r="A1" s="110"/>
      <c r="B1" s="110"/>
      <c r="C1" s="110"/>
      <c r="D1" s="110"/>
      <c r="E1" s="110"/>
      <c r="F1" s="110"/>
      <c r="G1" s="110"/>
      <c r="H1" s="110"/>
      <c r="I1" s="110"/>
      <c r="J1" s="110"/>
      <c r="K1" s="110"/>
      <c r="L1" s="110"/>
      <c r="M1" s="111"/>
      <c r="N1" s="111"/>
      <c r="O1" s="111"/>
      <c r="P1" s="111"/>
      <c r="Q1" s="110"/>
      <c r="R1" s="110"/>
    </row>
    <row r="2" spans="1:18" ht="7.5" customHeight="1">
      <c r="A2" s="110"/>
      <c r="B2" s="112"/>
      <c r="C2" s="112"/>
      <c r="D2" s="112"/>
      <c r="E2" s="112"/>
      <c r="F2" s="110"/>
      <c r="G2" s="110"/>
      <c r="H2" s="110"/>
      <c r="I2" s="110"/>
      <c r="J2" s="110"/>
      <c r="K2" s="110"/>
      <c r="L2" s="110"/>
      <c r="M2" s="111"/>
      <c r="N2" s="111"/>
      <c r="O2" s="111"/>
      <c r="P2" s="111"/>
      <c r="Q2" s="110"/>
      <c r="R2" s="110"/>
    </row>
    <row r="3" spans="1:18" ht="6.75" customHeight="1">
      <c r="A3" s="110"/>
      <c r="B3" s="113"/>
      <c r="C3" s="114"/>
      <c r="D3" s="115"/>
      <c r="E3" s="115"/>
      <c r="F3" s="115"/>
      <c r="G3" s="115"/>
      <c r="H3" s="115"/>
      <c r="I3" s="115"/>
      <c r="J3" s="115"/>
      <c r="K3" s="115"/>
      <c r="L3" s="115"/>
      <c r="M3" s="116"/>
      <c r="N3" s="116"/>
      <c r="O3" s="116"/>
      <c r="P3" s="116"/>
      <c r="Q3" s="117"/>
      <c r="R3" s="110"/>
    </row>
    <row r="4" spans="1:18" ht="42" customHeight="1">
      <c r="A4" s="110"/>
      <c r="B4" s="118"/>
      <c r="C4" s="119"/>
      <c r="D4" s="120"/>
      <c r="E4" s="581" t="s">
        <v>97</v>
      </c>
      <c r="F4" s="581"/>
      <c r="G4" s="581"/>
      <c r="H4" s="581"/>
      <c r="I4" s="581"/>
      <c r="J4" s="581"/>
      <c r="K4" s="582" t="s">
        <v>98</v>
      </c>
      <c r="L4" s="582"/>
      <c r="M4" s="577" t="s">
        <v>99</v>
      </c>
      <c r="N4" s="577" t="s">
        <v>100</v>
      </c>
      <c r="O4" s="577" t="s">
        <v>101</v>
      </c>
      <c r="P4" s="577" t="s">
        <v>102</v>
      </c>
      <c r="Q4" s="121"/>
      <c r="R4" s="110"/>
    </row>
    <row r="5" spans="1:18" ht="24.75" customHeight="1">
      <c r="A5" s="110"/>
      <c r="B5" s="122" t="s">
        <v>103</v>
      </c>
      <c r="C5" s="123"/>
      <c r="D5" s="122"/>
      <c r="E5" s="581"/>
      <c r="F5" s="581"/>
      <c r="G5" s="581"/>
      <c r="H5" s="581"/>
      <c r="I5" s="581"/>
      <c r="J5" s="581"/>
      <c r="K5" s="582"/>
      <c r="L5" s="582"/>
      <c r="M5" s="577"/>
      <c r="N5" s="577"/>
      <c r="O5" s="577"/>
      <c r="P5" s="577"/>
      <c r="Q5" s="121"/>
      <c r="R5" s="110"/>
    </row>
    <row r="6" spans="1:18" ht="12.75" customHeight="1">
      <c r="A6" s="110"/>
      <c r="B6" s="122" t="s">
        <v>104</v>
      </c>
      <c r="C6" s="123"/>
      <c r="D6" s="122"/>
      <c r="E6" s="581"/>
      <c r="F6" s="581"/>
      <c r="G6" s="581"/>
      <c r="H6" s="581"/>
      <c r="I6" s="581"/>
      <c r="J6" s="581"/>
      <c r="K6" s="582"/>
      <c r="L6" s="582"/>
      <c r="M6" s="577"/>
      <c r="N6" s="577"/>
      <c r="O6" s="577"/>
      <c r="P6" s="577"/>
      <c r="Q6" s="121"/>
      <c r="R6" s="110"/>
    </row>
    <row r="7" spans="1:18" ht="41.25" customHeight="1">
      <c r="A7" s="110"/>
      <c r="B7" s="122"/>
      <c r="C7" s="123"/>
      <c r="D7" s="122"/>
      <c r="E7" s="124"/>
      <c r="F7" s="578"/>
      <c r="G7" s="578"/>
      <c r="H7" s="579" t="s">
        <v>105</v>
      </c>
      <c r="I7" s="579"/>
      <c r="J7" s="125" t="s">
        <v>106</v>
      </c>
      <c r="K7" s="582"/>
      <c r="L7" s="582"/>
      <c r="M7" s="577"/>
      <c r="N7" s="577"/>
      <c r="O7" s="577"/>
      <c r="P7" s="577"/>
      <c r="Q7" s="121"/>
      <c r="R7" s="110"/>
    </row>
    <row r="8" spans="1:18" ht="57" customHeight="1">
      <c r="A8" s="110"/>
      <c r="B8" s="126"/>
      <c r="C8" s="127"/>
      <c r="D8" s="126"/>
      <c r="E8" s="128"/>
      <c r="F8" s="580" t="s">
        <v>107</v>
      </c>
      <c r="G8" s="580"/>
      <c r="H8" s="580"/>
      <c r="I8" s="580"/>
      <c r="J8" s="580"/>
      <c r="K8" s="129"/>
      <c r="L8" s="129"/>
      <c r="M8" s="577"/>
      <c r="N8" s="577"/>
      <c r="O8" s="577"/>
      <c r="P8" s="577"/>
      <c r="Q8" s="121"/>
      <c r="R8" s="110"/>
    </row>
    <row r="9" spans="1:18" ht="15" customHeight="1">
      <c r="A9" s="110"/>
      <c r="B9" s="126"/>
      <c r="C9" s="127"/>
      <c r="D9" s="126"/>
      <c r="E9" s="128"/>
      <c r="F9" s="444"/>
      <c r="G9" s="444"/>
      <c r="H9" s="444"/>
      <c r="I9" s="444"/>
      <c r="J9" s="444"/>
      <c r="K9" s="129"/>
      <c r="L9" s="129"/>
      <c r="M9" s="130">
        <f>M15+M23+M29+M36+M42</f>
        <v>256.41025641025641</v>
      </c>
      <c r="N9" s="130">
        <f>N15+N23+N29+N36+N42</f>
        <v>256.41025641025641</v>
      </c>
      <c r="O9" s="130">
        <f>O15+O23+O29+O36+O42</f>
        <v>256.41025641025641</v>
      </c>
      <c r="P9" s="130">
        <f>P15+P23+P29+P36+P42</f>
        <v>230.76923076923075</v>
      </c>
      <c r="Q9" s="121"/>
      <c r="R9" s="110"/>
    </row>
    <row r="10" spans="1:18" ht="21" customHeight="1">
      <c r="A10" s="110"/>
      <c r="B10" s="583"/>
      <c r="C10" s="131"/>
      <c r="D10" s="132"/>
      <c r="E10" s="133"/>
      <c r="F10" s="584" t="s">
        <v>108</v>
      </c>
      <c r="G10" s="584"/>
      <c r="H10" s="584"/>
      <c r="I10" s="134">
        <f>'2. Company Facts'!C7</f>
        <v>0</v>
      </c>
      <c r="J10" s="585" t="s">
        <v>109</v>
      </c>
      <c r="K10" s="586" t="str">
        <f>K49</f>
        <v>1</v>
      </c>
      <c r="L10" s="587">
        <f>M15+N15+O15+P15</f>
        <v>179.48717948717947</v>
      </c>
      <c r="M10" s="588" t="s">
        <v>14</v>
      </c>
      <c r="N10" s="589" t="s">
        <v>17</v>
      </c>
      <c r="O10" s="589" t="s">
        <v>21</v>
      </c>
      <c r="P10" s="590" t="s">
        <v>24</v>
      </c>
      <c r="Q10" s="135"/>
      <c r="R10" s="110"/>
    </row>
    <row r="11" spans="1:18" ht="13.5" customHeight="1">
      <c r="A11" s="110"/>
      <c r="B11" s="583"/>
      <c r="C11" s="136"/>
      <c r="D11" s="137"/>
      <c r="E11" s="138"/>
      <c r="F11" s="591"/>
      <c r="G11" s="591"/>
      <c r="H11" s="591"/>
      <c r="I11" s="591"/>
      <c r="J11" s="585"/>
      <c r="K11" s="586"/>
      <c r="L11" s="586"/>
      <c r="M11" s="588"/>
      <c r="N11" s="589"/>
      <c r="O11" s="589"/>
      <c r="P11" s="590"/>
      <c r="Q11" s="121"/>
      <c r="R11" s="110"/>
    </row>
    <row r="12" spans="1:18" ht="21.75" customHeight="1">
      <c r="A12" s="110"/>
      <c r="B12" s="583"/>
      <c r="C12" s="127"/>
      <c r="D12" s="126"/>
      <c r="E12" s="138" t="s">
        <v>110</v>
      </c>
      <c r="F12" s="139" t="s">
        <v>111</v>
      </c>
      <c r="G12" s="140" t="s">
        <v>112</v>
      </c>
      <c r="H12" s="140" t="s">
        <v>113</v>
      </c>
      <c r="I12" s="139" t="s">
        <v>114</v>
      </c>
      <c r="J12" s="585"/>
      <c r="K12" s="586"/>
      <c r="L12" s="586"/>
      <c r="M12" s="141"/>
      <c r="N12" s="142"/>
      <c r="O12" s="142"/>
      <c r="P12" s="143"/>
      <c r="Q12" s="121"/>
      <c r="R12" s="110"/>
    </row>
    <row r="13" spans="1:18" ht="15" customHeight="1">
      <c r="A13" s="110"/>
      <c r="B13" s="583"/>
      <c r="C13" s="127"/>
      <c r="D13" s="126"/>
      <c r="E13" s="138" t="str">
        <f>LEFT(F13,2)</f>
        <v>Bi</v>
      </c>
      <c r="F13" s="144" t="str">
        <f>'2. Company Facts'!B10</f>
        <v>Bitte Auswählen</v>
      </c>
      <c r="G13" s="145" t="str">
        <f>'2. Company Facts'!C10</f>
        <v>bitte einfügen</v>
      </c>
      <c r="H13" s="145" t="str">
        <f>'2. Company Facts'!D10</f>
        <v>Bitte Auswählen</v>
      </c>
      <c r="I13" s="146">
        <f>'2. Company Facts'!F10</f>
        <v>0</v>
      </c>
      <c r="J13" s="585"/>
      <c r="K13" s="586"/>
      <c r="L13" s="586"/>
      <c r="M13" s="147"/>
      <c r="N13" s="148"/>
      <c r="O13" s="148"/>
      <c r="P13" s="149"/>
      <c r="Q13" s="121"/>
      <c r="R13" s="110"/>
    </row>
    <row r="14" spans="1:18" ht="15" customHeight="1">
      <c r="A14" s="110"/>
      <c r="B14" s="583"/>
      <c r="C14" s="150"/>
      <c r="D14" s="151"/>
      <c r="E14" s="138" t="str">
        <f>LEFT(F14,2)</f>
        <v>Bi</v>
      </c>
      <c r="F14" s="152" t="str">
        <f>'2. Company Facts'!B11</f>
        <v>Bitte Auswählen</v>
      </c>
      <c r="G14" s="153" t="str">
        <f>'2. Company Facts'!C11</f>
        <v>bitte einfügen</v>
      </c>
      <c r="H14" s="153" t="str">
        <f>'2. Company Facts'!D11</f>
        <v>Bitte Auswählen</v>
      </c>
      <c r="I14" s="154">
        <f>'2. Company Facts'!F11</f>
        <v>0</v>
      </c>
      <c r="J14" s="585"/>
      <c r="K14" s="586"/>
      <c r="L14" s="586"/>
      <c r="M14" s="155">
        <f>'3. Calc'!D10</f>
        <v>1</v>
      </c>
      <c r="N14" s="156">
        <f>'3. Calc'!D13</f>
        <v>1</v>
      </c>
      <c r="O14" s="157">
        <f>'3. Calc'!D16</f>
        <v>1</v>
      </c>
      <c r="P14" s="158">
        <f>'3. Calc'!D19</f>
        <v>0.5</v>
      </c>
      <c r="Q14" s="159">
        <f>'11.Region'!U10</f>
        <v>0</v>
      </c>
      <c r="R14" s="110"/>
    </row>
    <row r="15" spans="1:18" ht="15" customHeight="1">
      <c r="A15" s="110"/>
      <c r="B15" s="151"/>
      <c r="C15" s="150"/>
      <c r="D15" s="151"/>
      <c r="E15" s="138" t="str">
        <f>LEFT(F15,2)</f>
        <v>Bi</v>
      </c>
      <c r="F15" s="160" t="str">
        <f>'2. Company Facts'!B12</f>
        <v>Bitte Auswählen</v>
      </c>
      <c r="G15" s="153" t="str">
        <f>'2. Company Facts'!C12</f>
        <v>bitte einfügen</v>
      </c>
      <c r="H15" s="153" t="str">
        <f>'2. Company Facts'!D12</f>
        <v>Bitte Auswählen</v>
      </c>
      <c r="I15" s="154">
        <f>'2. Company Facts'!F12</f>
        <v>0</v>
      </c>
      <c r="J15" s="585"/>
      <c r="K15" s="586"/>
      <c r="L15" s="586"/>
      <c r="M15" s="161">
        <f>M49</f>
        <v>51.282051282051277</v>
      </c>
      <c r="N15" s="162">
        <f>N49</f>
        <v>51.282051282051277</v>
      </c>
      <c r="O15" s="162">
        <f>O49</f>
        <v>51.282051282051277</v>
      </c>
      <c r="P15" s="163">
        <f>P49</f>
        <v>25.641025641025639</v>
      </c>
      <c r="Q15" s="159"/>
      <c r="R15" s="110"/>
    </row>
    <row r="16" spans="1:18" ht="15" customHeight="1" thickBot="1">
      <c r="A16" s="110"/>
      <c r="B16" s="122"/>
      <c r="C16" s="123"/>
      <c r="D16" s="122"/>
      <c r="E16" s="138" t="str">
        <f>LEFT(F16,2)</f>
        <v>Bi</v>
      </c>
      <c r="F16" s="160" t="str">
        <f>'2. Company Facts'!B13</f>
        <v>Bitte Auswählen</v>
      </c>
      <c r="G16" s="153" t="str">
        <f>'2. Company Facts'!C13</f>
        <v>bitte einfügen</v>
      </c>
      <c r="H16" s="153" t="str">
        <f>'2. Company Facts'!D13</f>
        <v>Bitte Auswählen</v>
      </c>
      <c r="I16" s="154">
        <f>'2. Company Facts'!F13</f>
        <v>0</v>
      </c>
      <c r="J16" s="585"/>
      <c r="K16" s="586"/>
      <c r="L16" s="586"/>
      <c r="M16" s="164">
        <f>'3. Calc'!C83</f>
        <v>1</v>
      </c>
      <c r="N16" s="165">
        <f>'3. Calc'!C83</f>
        <v>1</v>
      </c>
      <c r="O16" s="165">
        <f>IFERROR(IF('11.Region'!N8&gt;1.5,'3. Calc'!C81,IF('11.Region'!N8&gt;1.25,'3. Calc'!C82,IF('11.Region'!N8&lt;0.75,'3. Calc'!C84,'3. Calc'!C83))),'3. Calc'!C83)</f>
        <v>1</v>
      </c>
      <c r="P16" s="166">
        <f>IF('11.Region'!I9&lt;1.5,'3. Calc'!C84,IF('11.Region'!I9&lt;3.26,'3. Calc'!C83,IF('11.Region'!I9&lt;4.5,'3. Calc'!C82,'3. Calc'!C81)))</f>
        <v>0.5</v>
      </c>
      <c r="Q16" s="159"/>
      <c r="R16" s="110"/>
    </row>
    <row r="17" spans="1:18" ht="15" customHeight="1" thickBot="1">
      <c r="A17" s="110"/>
      <c r="B17" s="122"/>
      <c r="C17" s="123"/>
      <c r="D17" s="122"/>
      <c r="E17" s="138" t="str">
        <f>LEFT(F17,2)</f>
        <v>Bi</v>
      </c>
      <c r="F17" s="167" t="str">
        <f>'2. Company Facts'!B14</f>
        <v>Bitte Auswählen</v>
      </c>
      <c r="G17" s="168" t="str">
        <f>'2. Company Facts'!C14</f>
        <v>bitte einfügen</v>
      </c>
      <c r="H17" s="153" t="str">
        <f>'2. Company Facts'!D14</f>
        <v>Bitte Auswählen</v>
      </c>
      <c r="I17" s="154">
        <f>'2. Company Facts'!F14</f>
        <v>0</v>
      </c>
      <c r="J17" s="585"/>
      <c r="K17" s="586"/>
      <c r="L17" s="586"/>
      <c r="M17" s="147"/>
      <c r="N17" s="148"/>
      <c r="O17" s="148"/>
      <c r="P17" s="149"/>
      <c r="Q17" s="159"/>
      <c r="R17" s="110"/>
    </row>
    <row r="18" spans="1:18" ht="15.75" customHeight="1" thickTop="1" thickBot="1">
      <c r="A18" s="110"/>
      <c r="B18" s="170"/>
      <c r="C18" s="171"/>
      <c r="D18" s="172"/>
      <c r="E18" s="173"/>
      <c r="F18" s="174" t="s">
        <v>115</v>
      </c>
      <c r="G18" s="174"/>
      <c r="H18" s="428" t="str">
        <f>'2. Company Facts'!D15</f>
        <v>Bitte Auswählen</v>
      </c>
      <c r="I18" s="169">
        <f>'2. Company Facts'!F15</f>
        <v>0</v>
      </c>
      <c r="J18" s="585"/>
      <c r="K18" s="586"/>
      <c r="L18" s="586"/>
      <c r="M18" s="175"/>
      <c r="N18" s="176"/>
      <c r="O18" s="176"/>
      <c r="P18" s="177"/>
      <c r="Q18" s="178"/>
      <c r="R18" s="110"/>
    </row>
    <row r="19" spans="1:18" ht="13.5" customHeight="1" thickTop="1" thickBot="1">
      <c r="A19" s="110"/>
      <c r="B19" s="151"/>
      <c r="C19" s="150"/>
      <c r="D19" s="151"/>
      <c r="E19" s="138"/>
      <c r="F19" s="596" t="s">
        <v>116</v>
      </c>
      <c r="G19" s="596"/>
      <c r="H19" s="596"/>
      <c r="I19" s="179">
        <f>'2. Company Facts'!C18</f>
        <v>0</v>
      </c>
      <c r="J19" s="597" t="s">
        <v>117</v>
      </c>
      <c r="K19" s="598" t="str">
        <f>K50</f>
        <v>1</v>
      </c>
      <c r="L19" s="587">
        <f>M23+N23+O23+P23</f>
        <v>205.12820512820511</v>
      </c>
      <c r="M19" s="599" t="s">
        <v>28</v>
      </c>
      <c r="N19" s="592" t="s">
        <v>32</v>
      </c>
      <c r="O19" s="592" t="s">
        <v>35</v>
      </c>
      <c r="P19" s="593" t="s">
        <v>39</v>
      </c>
      <c r="Q19" s="159"/>
      <c r="R19" s="110"/>
    </row>
    <row r="20" spans="1:18" ht="15" customHeight="1">
      <c r="A20" s="110"/>
      <c r="B20" s="151"/>
      <c r="C20" s="150"/>
      <c r="D20" s="151"/>
      <c r="E20" s="138"/>
      <c r="F20" s="594" t="s">
        <v>118</v>
      </c>
      <c r="G20" s="594"/>
      <c r="H20" s="594"/>
      <c r="I20" s="180" t="str">
        <f>IFERROR(I19/I32,"-")</f>
        <v>-</v>
      </c>
      <c r="J20" s="597"/>
      <c r="K20" s="598"/>
      <c r="L20" s="598"/>
      <c r="M20" s="599"/>
      <c r="N20" s="592" t="s">
        <v>119</v>
      </c>
      <c r="O20" s="592"/>
      <c r="P20" s="593" t="s">
        <v>120</v>
      </c>
      <c r="Q20" s="159"/>
      <c r="R20" s="110"/>
    </row>
    <row r="21" spans="1:18" ht="15" customHeight="1">
      <c r="A21" s="110"/>
      <c r="B21" s="151"/>
      <c r="C21" s="150"/>
      <c r="D21" s="151"/>
      <c r="E21" s="138"/>
      <c r="F21" s="595" t="s">
        <v>121</v>
      </c>
      <c r="G21" s="595"/>
      <c r="H21" s="595"/>
      <c r="I21" s="181">
        <f>'2. Company Facts'!C19</f>
        <v>0</v>
      </c>
      <c r="J21" s="597"/>
      <c r="K21" s="598"/>
      <c r="L21" s="598"/>
      <c r="M21" s="141"/>
      <c r="N21" s="142"/>
      <c r="O21" s="142"/>
      <c r="P21" s="143"/>
      <c r="Q21" s="159"/>
      <c r="R21" s="110"/>
    </row>
    <row r="22" spans="1:18" ht="15" customHeight="1">
      <c r="A22" s="110"/>
      <c r="B22" s="118"/>
      <c r="C22" s="182"/>
      <c r="D22" s="118"/>
      <c r="E22" s="183">
        <f>IFERROR((G24+I24)/I23,0.2)</f>
        <v>0.2</v>
      </c>
      <c r="F22" s="184" t="s">
        <v>122</v>
      </c>
      <c r="G22" s="600" t="s">
        <v>123</v>
      </c>
      <c r="H22" s="600"/>
      <c r="I22" s="185">
        <f>'2. Company Facts'!C20</f>
        <v>0</v>
      </c>
      <c r="J22" s="597"/>
      <c r="K22" s="598"/>
      <c r="L22" s="598"/>
      <c r="M22" s="186">
        <f>'3. Calc'!D22</f>
        <v>1</v>
      </c>
      <c r="N22" s="187">
        <f>'3. Calc'!D24</f>
        <v>1</v>
      </c>
      <c r="O22" s="187">
        <f>'3. Calc'!D27</f>
        <v>1</v>
      </c>
      <c r="P22" s="188">
        <f>'3. Calc'!D30</f>
        <v>1</v>
      </c>
      <c r="Q22" s="189"/>
      <c r="R22" s="110"/>
    </row>
    <row r="23" spans="1:18" ht="15" customHeight="1">
      <c r="A23" s="110"/>
      <c r="B23" s="118"/>
      <c r="C23" s="182"/>
      <c r="D23" s="118"/>
      <c r="E23" s="190">
        <f>IFERROR(I32/I23,0.3)</f>
        <v>0.3</v>
      </c>
      <c r="F23" s="184" t="s">
        <v>124</v>
      </c>
      <c r="G23" s="595" t="s">
        <v>125</v>
      </c>
      <c r="H23" s="595"/>
      <c r="I23" s="191">
        <f>'2. Company Facts'!C21</f>
        <v>0</v>
      </c>
      <c r="J23" s="597"/>
      <c r="K23" s="598"/>
      <c r="L23" s="598"/>
      <c r="M23" s="161">
        <f>M50</f>
        <v>51.282051282051277</v>
      </c>
      <c r="N23" s="162">
        <f>N50</f>
        <v>51.282051282051277</v>
      </c>
      <c r="O23" s="162">
        <f>O50</f>
        <v>51.282051282051277</v>
      </c>
      <c r="P23" s="163">
        <f>P50</f>
        <v>51.282051282051277</v>
      </c>
      <c r="Q23" s="189"/>
      <c r="R23" s="110"/>
    </row>
    <row r="24" spans="1:18" ht="15.75" customHeight="1">
      <c r="A24" s="110"/>
      <c r="B24" s="192"/>
      <c r="C24" s="193"/>
      <c r="D24" s="194"/>
      <c r="E24" s="173"/>
      <c r="F24" s="195" t="s">
        <v>126</v>
      </c>
      <c r="G24" s="179">
        <f>'2. Company Facts'!C22</f>
        <v>0</v>
      </c>
      <c r="H24" s="195" t="s">
        <v>127</v>
      </c>
      <c r="I24" s="196">
        <f>'2. Company Facts'!C23</f>
        <v>0</v>
      </c>
      <c r="J24" s="597"/>
      <c r="K24" s="598"/>
      <c r="L24" s="598"/>
      <c r="M24" s="197">
        <f>IFERROR(IF(H35='10. Industry'!A22,'3. Calc'!C81,IF(E23&lt;0.1,'3. Calc'!C82,IF(E23&gt;0.5,'3. Calc'!C84,'3. Calc'!C83))),'3. Calc'!C83)</f>
        <v>1</v>
      </c>
      <c r="N24" s="198">
        <f>IFERROR(IF(I20="-",'3. Calc'!C83,IF(I20&gt;0.1,'3. Calc'!C82,IF(I20&lt;0.001,'3. Calc'!C85,IF(I20&lt;0.03,'3. Calc'!C84,'3. Calc'!C83)))),'3. Calc'!C83)</f>
        <v>1</v>
      </c>
      <c r="O24" s="198">
        <f>IFERROR(IF(H35='10. Industry'!A22,'3. Calc'!C81,IF(E22&lt;0.1,'3. Calc'!C84,IF(E22&gt;0.25,'3. Calc'!C82,'3. Calc'!C83))),'3. Calc'!C83)</f>
        <v>1</v>
      </c>
      <c r="P24" s="199">
        <f>IF(H40="Kleinstunternehmen",'3. Calc'!C84,'3. Calc'!C83)</f>
        <v>1</v>
      </c>
      <c r="Q24" s="200"/>
      <c r="R24" s="110"/>
    </row>
    <row r="25" spans="1:18" ht="12" customHeight="1">
      <c r="A25" s="110"/>
      <c r="B25" s="192"/>
      <c r="C25" s="201"/>
      <c r="D25" s="202"/>
      <c r="E25" s="138"/>
      <c r="F25" s="596" t="s">
        <v>128</v>
      </c>
      <c r="G25" s="596"/>
      <c r="H25" s="596"/>
      <c r="I25" s="203">
        <f>'2. Company Facts'!C27</f>
        <v>0</v>
      </c>
      <c r="J25" s="597" t="s">
        <v>129</v>
      </c>
      <c r="K25" s="598" t="str">
        <f>K51</f>
        <v>1</v>
      </c>
      <c r="L25" s="587">
        <f>M29+N29+O29+P29</f>
        <v>205.12820512820511</v>
      </c>
      <c r="M25" s="602" t="s">
        <v>43</v>
      </c>
      <c r="N25" s="601" t="s">
        <v>48</v>
      </c>
      <c r="O25" s="592" t="s">
        <v>53</v>
      </c>
      <c r="P25" s="593" t="s">
        <v>58</v>
      </c>
      <c r="Q25" s="189"/>
      <c r="R25" s="110"/>
    </row>
    <row r="26" spans="1:18" ht="15" customHeight="1">
      <c r="A26" s="110"/>
      <c r="B26" s="192"/>
      <c r="C26" s="201"/>
      <c r="D26" s="202"/>
      <c r="E26" s="138"/>
      <c r="F26" s="595" t="s">
        <v>130</v>
      </c>
      <c r="G26" s="595"/>
      <c r="H26" s="595"/>
      <c r="I26" s="204">
        <f>'2. Company Facts'!C26</f>
        <v>0</v>
      </c>
      <c r="J26" s="597"/>
      <c r="K26" s="598"/>
      <c r="L26" s="598"/>
      <c r="M26" s="602"/>
      <c r="N26" s="601"/>
      <c r="O26" s="592" t="s">
        <v>131</v>
      </c>
      <c r="P26" s="593" t="s">
        <v>132</v>
      </c>
      <c r="Q26" s="189"/>
      <c r="R26" s="110"/>
    </row>
    <row r="27" spans="1:18" ht="12" customHeight="1">
      <c r="A27" s="110"/>
      <c r="B27" s="192"/>
      <c r="C27" s="201"/>
      <c r="D27" s="202"/>
      <c r="E27" s="138"/>
      <c r="F27" s="205"/>
      <c r="G27" s="447" t="s">
        <v>133</v>
      </c>
      <c r="H27" s="206" t="str">
        <f>'2. Company Facts'!B30</f>
        <v>Bitte Auswählen</v>
      </c>
      <c r="I27" s="207">
        <f>'2. Company Facts'!D30</f>
        <v>0</v>
      </c>
      <c r="J27" s="597"/>
      <c r="K27" s="598"/>
      <c r="L27" s="598"/>
      <c r="M27" s="141"/>
      <c r="N27" s="142"/>
      <c r="O27" s="142"/>
      <c r="P27" s="143"/>
      <c r="Q27" s="189"/>
      <c r="R27" s="110"/>
    </row>
    <row r="28" spans="1:18" ht="15" customHeight="1">
      <c r="A28" s="110"/>
      <c r="B28" s="122"/>
      <c r="C28" s="182"/>
      <c r="D28" s="118"/>
      <c r="E28" s="138"/>
      <c r="F28" s="205"/>
      <c r="G28" s="447" t="s">
        <v>134</v>
      </c>
      <c r="H28" s="208" t="str">
        <f>'2. Company Facts'!B31</f>
        <v>Bitte Auswählen</v>
      </c>
      <c r="I28" s="209">
        <f>'2. Company Facts'!D31</f>
        <v>0</v>
      </c>
      <c r="J28" s="597"/>
      <c r="K28" s="598"/>
      <c r="L28" s="598"/>
      <c r="M28" s="186">
        <f>'3. Calc'!D34</f>
        <v>1</v>
      </c>
      <c r="N28" s="187">
        <f>'3. Calc'!D37</f>
        <v>1</v>
      </c>
      <c r="O28" s="187">
        <f>'3. Calc'!D40</f>
        <v>1</v>
      </c>
      <c r="P28" s="188">
        <f>'3. Calc'!D43</f>
        <v>1</v>
      </c>
      <c r="Q28" s="189"/>
      <c r="R28" s="110"/>
    </row>
    <row r="29" spans="1:18" ht="15" customHeight="1">
      <c r="A29" s="110"/>
      <c r="B29" s="122"/>
      <c r="C29" s="182"/>
      <c r="D29" s="118"/>
      <c r="E29" s="138"/>
      <c r="F29" s="205"/>
      <c r="G29" s="447" t="s">
        <v>134</v>
      </c>
      <c r="H29" s="210" t="str">
        <f>'2. Company Facts'!B32</f>
        <v>Bitte Auswählen</v>
      </c>
      <c r="I29" s="211">
        <f>'2. Company Facts'!D32</f>
        <v>0</v>
      </c>
      <c r="J29" s="597"/>
      <c r="K29" s="598"/>
      <c r="L29" s="598"/>
      <c r="M29" s="161">
        <f>M51</f>
        <v>51.282051282051277</v>
      </c>
      <c r="N29" s="162">
        <f>N51</f>
        <v>51.282051282051277</v>
      </c>
      <c r="O29" s="162">
        <f>O51</f>
        <v>51.282051282051277</v>
      </c>
      <c r="P29" s="163">
        <f>P51</f>
        <v>51.282051282051277</v>
      </c>
      <c r="Q29" s="189"/>
      <c r="R29" s="110"/>
    </row>
    <row r="30" spans="1:18" ht="15" customHeight="1">
      <c r="A30" s="110"/>
      <c r="B30" s="122"/>
      <c r="C30" s="182"/>
      <c r="D30" s="118"/>
      <c r="E30" s="138"/>
      <c r="F30" s="595" t="s">
        <v>135</v>
      </c>
      <c r="G30" s="595"/>
      <c r="H30" s="595"/>
      <c r="I30" s="212">
        <f>'2. Company Facts'!C33</f>
        <v>0</v>
      </c>
      <c r="J30" s="597"/>
      <c r="K30" s="598"/>
      <c r="L30" s="598"/>
      <c r="M30" s="164">
        <f>'3. Calc'!C83</f>
        <v>1</v>
      </c>
      <c r="N30" s="164">
        <f>'3. Calc'!C83</f>
        <v>1</v>
      </c>
      <c r="O30" s="165">
        <f>IF(AND(OR(I31="Nein",I31="No",I31="Nao",I31="Pas"),I30&lt;10),'3. Calc'!C84,IF(I30&gt;25,'3. Calc'!C82,'3. Calc'!C83))</f>
        <v>1</v>
      </c>
      <c r="P30" s="166">
        <f>IF(I26=1,'3. Calc'!C85,IF(H40="Kleinstunternehmen",'3. Calc'!C84,IF('11.Region'!I14&gt;3.25,'3. Calc'!C82,'3. Calc'!C83)))</f>
        <v>1</v>
      </c>
      <c r="Q30" s="189"/>
      <c r="R30" s="110"/>
    </row>
    <row r="31" spans="1:18" ht="15.75" customHeight="1">
      <c r="A31" s="110"/>
      <c r="B31" s="192"/>
      <c r="C31" s="193"/>
      <c r="D31" s="194"/>
      <c r="E31" s="173"/>
      <c r="F31" s="603" t="s">
        <v>136</v>
      </c>
      <c r="G31" s="603"/>
      <c r="H31" s="603"/>
      <c r="I31" s="213">
        <f>'2. Company Facts'!C34</f>
        <v>0</v>
      </c>
      <c r="J31" s="597"/>
      <c r="K31" s="598"/>
      <c r="L31" s="598"/>
      <c r="M31" s="175"/>
      <c r="N31" s="176"/>
      <c r="O31" s="176"/>
      <c r="P31" s="177"/>
      <c r="Q31" s="200"/>
      <c r="R31" s="110"/>
    </row>
    <row r="32" spans="1:18" ht="12.75" customHeight="1">
      <c r="A32" s="110"/>
      <c r="B32" s="192"/>
      <c r="C32" s="201"/>
      <c r="D32" s="202"/>
      <c r="E32" s="138"/>
      <c r="F32" s="604" t="s">
        <v>137</v>
      </c>
      <c r="G32" s="604"/>
      <c r="H32" s="604"/>
      <c r="I32" s="214">
        <f>'2. Company Facts'!C37</f>
        <v>0</v>
      </c>
      <c r="J32" s="597" t="s">
        <v>138</v>
      </c>
      <c r="K32" s="598">
        <v>1</v>
      </c>
      <c r="L32" s="587">
        <f>M36+N36+O36+P36</f>
        <v>205.12820512820511</v>
      </c>
      <c r="M32" s="605" t="s">
        <v>64</v>
      </c>
      <c r="N32" s="606" t="s">
        <v>68</v>
      </c>
      <c r="O32" s="589" t="s">
        <v>72</v>
      </c>
      <c r="P32" s="590" t="s">
        <v>76</v>
      </c>
      <c r="Q32" s="189"/>
      <c r="R32" s="110"/>
    </row>
    <row r="33" spans="1:19" ht="15" customHeight="1">
      <c r="A33" s="110"/>
      <c r="B33" s="192"/>
      <c r="C33" s="201"/>
      <c r="D33" s="202"/>
      <c r="E33" s="138"/>
      <c r="F33" s="445"/>
      <c r="G33" s="445"/>
      <c r="H33" s="445" t="s">
        <v>139</v>
      </c>
      <c r="I33" s="215">
        <f>'2. Company Facts'!C38</f>
        <v>0</v>
      </c>
      <c r="J33" s="597"/>
      <c r="K33" s="598"/>
      <c r="L33" s="598"/>
      <c r="M33" s="605"/>
      <c r="N33" s="606"/>
      <c r="O33" s="589"/>
      <c r="P33" s="590"/>
      <c r="Q33" s="189"/>
      <c r="R33" s="110"/>
    </row>
    <row r="34" spans="1:19" ht="23.25" customHeight="1">
      <c r="A34" s="110"/>
      <c r="B34" s="192"/>
      <c r="C34" s="201"/>
      <c r="D34" s="202"/>
      <c r="E34" s="138"/>
      <c r="F34" s="139" t="s">
        <v>111</v>
      </c>
      <c r="G34" s="139" t="s">
        <v>112</v>
      </c>
      <c r="H34" s="448" t="s">
        <v>140</v>
      </c>
      <c r="I34" s="446" t="s">
        <v>141</v>
      </c>
      <c r="J34" s="597"/>
      <c r="K34" s="598"/>
      <c r="L34" s="598"/>
      <c r="M34" s="141"/>
      <c r="N34" s="142"/>
      <c r="O34" s="142"/>
      <c r="P34" s="143"/>
      <c r="Q34" s="189"/>
      <c r="R34" s="110"/>
    </row>
    <row r="35" spans="1:19" ht="15" customHeight="1">
      <c r="A35" s="110"/>
      <c r="B35" s="192"/>
      <c r="C35" s="201"/>
      <c r="D35" s="202"/>
      <c r="E35" s="138"/>
      <c r="F35" s="216" t="str">
        <f>'2. Company Facts'!B41</f>
        <v>Bitte Auswählen</v>
      </c>
      <c r="G35" s="217">
        <f>'2. Company Facts'!C41</f>
        <v>0</v>
      </c>
      <c r="H35" s="448" t="str">
        <f>LEFT(F35,2)</f>
        <v>Bi</v>
      </c>
      <c r="I35" s="218">
        <f>'2. Company Facts'!D41</f>
        <v>0</v>
      </c>
      <c r="J35" s="597"/>
      <c r="K35" s="598"/>
      <c r="L35" s="598"/>
      <c r="M35" s="186">
        <f>'3. Calc'!D47</f>
        <v>1</v>
      </c>
      <c r="N35" s="187">
        <f>'3. Calc'!D50</f>
        <v>1</v>
      </c>
      <c r="O35" s="187">
        <f>'3. Calc'!D53</f>
        <v>1</v>
      </c>
      <c r="P35" s="188">
        <f>'3. Calc'!D56</f>
        <v>1</v>
      </c>
      <c r="Q35" s="189"/>
      <c r="R35" s="110"/>
    </row>
    <row r="36" spans="1:19" ht="15" customHeight="1">
      <c r="A36" s="110"/>
      <c r="B36" s="192"/>
      <c r="C36" s="201"/>
      <c r="D36" s="202"/>
      <c r="E36" s="138"/>
      <c r="F36" s="219" t="str">
        <f>'2. Company Facts'!B42</f>
        <v>Bitte Auswählen</v>
      </c>
      <c r="G36" s="220">
        <f>'2. Company Facts'!C42</f>
        <v>0</v>
      </c>
      <c r="H36" s="448" t="str">
        <f>LEFT(F36,2)</f>
        <v>Bi</v>
      </c>
      <c r="I36" s="221">
        <f>'2. Company Facts'!D42</f>
        <v>0</v>
      </c>
      <c r="J36" s="597"/>
      <c r="K36" s="598"/>
      <c r="L36" s="598"/>
      <c r="M36" s="161">
        <f>M52</f>
        <v>51.282051282051277</v>
      </c>
      <c r="N36" s="162">
        <f>N52</f>
        <v>51.282051282051277</v>
      </c>
      <c r="O36" s="162">
        <f>O52</f>
        <v>51.282051282051277</v>
      </c>
      <c r="P36" s="163">
        <f>P52</f>
        <v>51.282051282051277</v>
      </c>
      <c r="Q36" s="189"/>
      <c r="R36" s="110"/>
    </row>
    <row r="37" spans="1:19" ht="15.75" customHeight="1">
      <c r="A37" s="110"/>
      <c r="B37" s="222"/>
      <c r="C37" s="223"/>
      <c r="D37" s="224"/>
      <c r="E37" s="173"/>
      <c r="F37" s="225" t="str">
        <f>'2. Company Facts'!B43</f>
        <v>Bitte Auswählen</v>
      </c>
      <c r="G37" s="226">
        <f>'2. Company Facts'!C43</f>
        <v>0</v>
      </c>
      <c r="H37" s="448" t="str">
        <f>LEFT(F37,2)</f>
        <v>Bi</v>
      </c>
      <c r="I37" s="227">
        <f>'2. Company Facts'!D43</f>
        <v>0</v>
      </c>
      <c r="J37" s="597"/>
      <c r="K37" s="598"/>
      <c r="L37" s="598"/>
      <c r="M37" s="197">
        <f>'3. Calc'!C83</f>
        <v>1</v>
      </c>
      <c r="N37" s="197">
        <f>'3. Calc'!C83</f>
        <v>1</v>
      </c>
      <c r="O37" s="198">
        <f>VLOOKUP(S37,'3. Calc'!$B$81:$C$85,2,FALSE)</f>
        <v>1</v>
      </c>
      <c r="P37" s="199">
        <f>IFERROR(IF(I33="Ja",'3. Calc'!C82,'3. Calc'!C83),'3. Calc'!C83)</f>
        <v>1</v>
      </c>
      <c r="Q37" s="200"/>
      <c r="R37" s="110"/>
      <c r="S37" s="228">
        <f>VLOOKUP('10. Industry'!J39,F49:H53,3,FALSE)</f>
        <v>1</v>
      </c>
    </row>
    <row r="38" spans="1:19" ht="20.25" customHeight="1">
      <c r="A38" s="110"/>
      <c r="B38" s="222"/>
      <c r="C38" s="229"/>
      <c r="D38" s="222"/>
      <c r="E38" s="138"/>
      <c r="F38" s="138"/>
      <c r="G38" s="138"/>
      <c r="H38" s="138"/>
      <c r="I38" s="138"/>
      <c r="J38" s="585" t="s">
        <v>142</v>
      </c>
      <c r="K38" s="598">
        <v>1</v>
      </c>
      <c r="L38" s="587">
        <f>M42+N42+O42+P42</f>
        <v>205.12820512820511</v>
      </c>
      <c r="M38" s="602" t="s">
        <v>80</v>
      </c>
      <c r="N38" s="592" t="s">
        <v>84</v>
      </c>
      <c r="O38" s="592" t="s">
        <v>89</v>
      </c>
      <c r="P38" s="593" t="s">
        <v>93</v>
      </c>
      <c r="Q38" s="189"/>
      <c r="R38" s="110"/>
    </row>
    <row r="39" spans="1:19" ht="20.25" customHeight="1">
      <c r="A39" s="110"/>
      <c r="B39" s="222"/>
      <c r="C39" s="229"/>
      <c r="D39" s="222"/>
      <c r="E39" s="138"/>
      <c r="F39" s="138"/>
      <c r="G39" s="138"/>
      <c r="H39" s="138" t="str">
        <f>IF(AND(I26&lt;10,OR(I32&lt;=2000000,I23&lt;=2000000)),'12.lan'!D324,IF(AND(I26&lt;50,OR(I32&lt;=10000000,I23&lt;=10000000)),'12.lan'!D325,IF(AND(I26&lt;250,OR(I32&lt;=50000000,I23&lt;=43000000)),'12.lan'!D326,'12.lan'!D327)))</f>
        <v>Kleinstunternehmen</v>
      </c>
      <c r="I39" s="138"/>
      <c r="J39" s="585"/>
      <c r="K39" s="598"/>
      <c r="L39" s="598"/>
      <c r="M39" s="602"/>
      <c r="N39" s="592"/>
      <c r="O39" s="592"/>
      <c r="P39" s="593"/>
      <c r="Q39" s="189"/>
      <c r="R39" s="110"/>
    </row>
    <row r="40" spans="1:19" ht="15" customHeight="1">
      <c r="A40" s="110"/>
      <c r="B40" s="222"/>
      <c r="C40" s="229"/>
      <c r="D40" s="222"/>
      <c r="E40" s="138"/>
      <c r="F40" s="138" t="s">
        <v>143</v>
      </c>
      <c r="G40" s="138"/>
      <c r="H40" s="138" t="str">
        <f>IF(AND(I26=0,I32=0,I23=0),'12.lan'!E326)</f>
        <v>Mittleres Unternehmen</v>
      </c>
      <c r="I40" s="138"/>
      <c r="J40" s="585"/>
      <c r="K40" s="598"/>
      <c r="L40" s="598"/>
      <c r="M40" s="141"/>
      <c r="N40" s="141"/>
      <c r="O40" s="141"/>
      <c r="P40" s="143"/>
      <c r="Q40" s="189"/>
      <c r="R40" s="110"/>
    </row>
    <row r="41" spans="1:19" ht="14.25" customHeight="1">
      <c r="A41" s="110"/>
      <c r="B41" s="222"/>
      <c r="C41" s="229"/>
      <c r="D41" s="222"/>
      <c r="E41" s="138"/>
      <c r="F41" s="138"/>
      <c r="G41" s="138"/>
      <c r="H41" s="138"/>
      <c r="I41" s="138"/>
      <c r="J41" s="585"/>
      <c r="K41" s="598"/>
      <c r="L41" s="598"/>
      <c r="M41" s="186">
        <f>'3. Calc'!D60</f>
        <v>1</v>
      </c>
      <c r="N41" s="187">
        <f>'3. Calc'!D63</f>
        <v>1</v>
      </c>
      <c r="O41" s="187">
        <f>'3. Calc'!D67</f>
        <v>1</v>
      </c>
      <c r="P41" s="188">
        <f>'3. Calc'!D70</f>
        <v>1</v>
      </c>
      <c r="Q41" s="189"/>
      <c r="R41" s="110"/>
    </row>
    <row r="42" spans="1:19" ht="15.75" customHeight="1">
      <c r="A42" s="110"/>
      <c r="B42" s="222"/>
      <c r="C42" s="223"/>
      <c r="D42" s="224"/>
      <c r="E42" s="173"/>
      <c r="F42" s="173"/>
      <c r="G42" s="173"/>
      <c r="H42" s="173"/>
      <c r="I42" s="173"/>
      <c r="J42" s="585"/>
      <c r="K42" s="598"/>
      <c r="L42" s="598"/>
      <c r="M42" s="230">
        <f>M53</f>
        <v>51.282051282051277</v>
      </c>
      <c r="N42" s="231">
        <f>N53</f>
        <v>51.282051282051277</v>
      </c>
      <c r="O42" s="231">
        <f>O53</f>
        <v>51.282051282051277</v>
      </c>
      <c r="P42" s="232">
        <f>P53</f>
        <v>51.282051282051277</v>
      </c>
      <c r="Q42" s="200"/>
      <c r="R42" s="110"/>
    </row>
    <row r="43" spans="1:19" ht="12.75" customHeight="1">
      <c r="A43" s="110"/>
      <c r="B43" s="112"/>
      <c r="C43" s="112"/>
      <c r="D43" s="112"/>
      <c r="E43" s="112"/>
      <c r="F43" s="112"/>
      <c r="G43" s="112"/>
      <c r="H43" s="112"/>
      <c r="I43" s="112"/>
      <c r="J43" s="112"/>
      <c r="K43" s="112"/>
      <c r="L43" s="112"/>
      <c r="M43" s="233">
        <f>'3. Calc'!C83</f>
        <v>1</v>
      </c>
      <c r="N43" s="233">
        <f>IF(I20="-",'3. Calc'!C83,IF(I20&lt;0.05,'3. Calc'!C84,IF(I20&lt;0.1,'3. Calc'!C83,IF(I20&gt;0.1,'3. Calc'!C82,'3. Calc'!C83))))</f>
        <v>1</v>
      </c>
      <c r="O43" s="233">
        <f>VLOOKUP(S37,'3. Calc'!$B$81:$C$85,2,FALSE)</f>
        <v>1</v>
      </c>
      <c r="P43" s="233">
        <f>IF(H35="B",'3. Calc'!C82,IF(H35="F",'3. Calc'!C82,IF(H40="Kleinstunternehmen",'3. Calc'!C84,IF(H40="Kleinunternehmen",'3. Calc'!C84,'3. Calc'!C83))))</f>
        <v>1</v>
      </c>
      <c r="Q43" s="112"/>
      <c r="R43" s="110"/>
      <c r="S43" s="110">
        <f>VLOOKUP('10. Industry'!L39,F49:H53,3,FALSE)</f>
        <v>1</v>
      </c>
    </row>
    <row r="44" spans="1:19" ht="24" customHeight="1">
      <c r="A44" s="110"/>
      <c r="B44" s="115"/>
      <c r="C44" s="115"/>
      <c r="D44" s="115"/>
      <c r="E44" s="115"/>
      <c r="F44" s="115"/>
      <c r="G44" s="115"/>
      <c r="H44" s="115"/>
      <c r="I44" s="115"/>
      <c r="J44" s="115"/>
      <c r="K44" s="115"/>
      <c r="L44" s="115"/>
      <c r="M44" s="115"/>
      <c r="N44" s="115"/>
      <c r="O44" s="115"/>
      <c r="P44" s="115"/>
      <c r="Q44" s="117"/>
      <c r="R44" s="110"/>
    </row>
    <row r="45" spans="1:19" ht="16.5" customHeight="1">
      <c r="A45" s="110"/>
      <c r="B45" s="126"/>
      <c r="C45" s="126"/>
      <c r="D45" s="126"/>
      <c r="E45" s="126"/>
      <c r="F45" s="126"/>
      <c r="G45" s="126"/>
      <c r="H45" s="126"/>
      <c r="I45" s="126"/>
      <c r="J45" s="126"/>
      <c r="K45" s="126"/>
      <c r="L45" s="126"/>
      <c r="M45" s="609" t="s">
        <v>144</v>
      </c>
      <c r="N45" s="609" t="s">
        <v>145</v>
      </c>
      <c r="O45" s="609" t="s">
        <v>101</v>
      </c>
      <c r="P45" s="609" t="s">
        <v>146</v>
      </c>
      <c r="Q45" s="121"/>
      <c r="R45" s="110"/>
    </row>
    <row r="46" spans="1:19" ht="24.75" customHeight="1">
      <c r="A46" s="110"/>
      <c r="B46" s="126"/>
      <c r="C46" s="126"/>
      <c r="D46" s="126"/>
      <c r="E46" s="126"/>
      <c r="F46" s="126"/>
      <c r="G46" s="126"/>
      <c r="H46" s="126"/>
      <c r="I46" s="126"/>
      <c r="J46" s="126"/>
      <c r="K46" s="126"/>
      <c r="L46" s="126"/>
      <c r="M46" s="609"/>
      <c r="N46" s="609"/>
      <c r="O46" s="609"/>
      <c r="P46" s="609"/>
      <c r="Q46" s="121"/>
      <c r="R46" s="110"/>
    </row>
    <row r="47" spans="1:19" ht="24.75" customHeight="1">
      <c r="A47" s="110"/>
      <c r="B47" s="126"/>
      <c r="C47" s="126"/>
      <c r="D47" s="126"/>
      <c r="E47" s="126"/>
      <c r="F47" s="126"/>
      <c r="G47" s="126"/>
      <c r="H47" s="126"/>
      <c r="I47" s="126"/>
      <c r="J47" s="126"/>
      <c r="K47" s="126"/>
      <c r="L47" s="126"/>
      <c r="M47" s="449"/>
      <c r="N47" s="449"/>
      <c r="O47" s="449"/>
      <c r="P47" s="449"/>
      <c r="Q47" s="121"/>
      <c r="R47" s="110"/>
    </row>
    <row r="48" spans="1:19" ht="26.25" customHeight="1">
      <c r="A48" s="110"/>
      <c r="B48" s="126"/>
      <c r="C48" s="126"/>
      <c r="D48" s="126"/>
      <c r="F48" s="138" t="s">
        <v>147</v>
      </c>
      <c r="G48" s="138"/>
      <c r="H48" s="138"/>
      <c r="I48" s="137"/>
      <c r="J48" s="137"/>
      <c r="K48" s="126"/>
      <c r="L48" s="126"/>
      <c r="M48" s="448"/>
      <c r="N48" s="448"/>
      <c r="O48" s="448"/>
      <c r="P48" s="448"/>
      <c r="Q48" s="121"/>
      <c r="R48" s="110"/>
    </row>
    <row r="49" spans="1:25" ht="18.75" customHeight="1">
      <c r="A49" s="110"/>
      <c r="B49" s="234"/>
      <c r="C49" s="234"/>
      <c r="D49" s="234"/>
      <c r="E49" s="234"/>
      <c r="F49" s="234" t="s">
        <v>148</v>
      </c>
      <c r="G49" s="235"/>
      <c r="H49" s="236">
        <v>0</v>
      </c>
      <c r="I49" s="237">
        <f>IFERROR((60*'11.Region'!G3/('11.Region'!G3+'11.Region'!G10+(I19+I21+I22+G24))*5),100)</f>
        <v>100</v>
      </c>
      <c r="J49" s="237">
        <f>IF(I49&lt;60,60,IF(I49&gt;300,300,I49))</f>
        <v>100</v>
      </c>
      <c r="K49" s="607" t="str">
        <f>IFERROR(IF(J49=60,"0,5",IF(J49=300,"2",IF(J49&lt;180.1,"1","1,5"))),"1")</f>
        <v>1</v>
      </c>
      <c r="L49" s="607"/>
      <c r="M49" s="238">
        <f t="shared" ref="M49:P53" si="0">M62/$Q$67*1000</f>
        <v>51.282051282051277</v>
      </c>
      <c r="N49" s="238">
        <f t="shared" si="0"/>
        <v>51.282051282051277</v>
      </c>
      <c r="O49" s="238">
        <f t="shared" si="0"/>
        <v>51.282051282051277</v>
      </c>
      <c r="P49" s="238">
        <f t="shared" si="0"/>
        <v>25.641025641025639</v>
      </c>
      <c r="Q49" s="239">
        <f>SUM(M49:P49)</f>
        <v>179.48717948717947</v>
      </c>
      <c r="R49" s="110"/>
    </row>
    <row r="50" spans="1:25" ht="18.75" customHeight="1">
      <c r="A50" s="110"/>
      <c r="B50" s="138"/>
      <c r="C50" s="138"/>
      <c r="D50" s="138"/>
      <c r="E50" s="138"/>
      <c r="F50" s="138" t="s">
        <v>149</v>
      </c>
      <c r="G50" s="240"/>
      <c r="H50" s="138">
        <v>0.5</v>
      </c>
      <c r="I50" s="237">
        <f>IFERROR((60*(I19+I21+I22+G24)/('11.Region'!G3+'11.Region'!G10+(I19+I21+I22+G24))*10),100)</f>
        <v>100</v>
      </c>
      <c r="J50" s="237">
        <f>IF(I50&lt;60,60,IF(I50&gt;300,300,I50))</f>
        <v>100</v>
      </c>
      <c r="K50" s="607" t="str">
        <f>IFERROR(IF(J50=60,"0,5",IF(J50=300,"2",IF(J50&lt;180.1,"1","1,5"))),"1")</f>
        <v>1</v>
      </c>
      <c r="L50" s="607"/>
      <c r="M50" s="238">
        <f t="shared" si="0"/>
        <v>51.282051282051277</v>
      </c>
      <c r="N50" s="238">
        <f t="shared" si="0"/>
        <v>51.282051282051277</v>
      </c>
      <c r="O50" s="238">
        <f t="shared" si="0"/>
        <v>51.282051282051277</v>
      </c>
      <c r="P50" s="238">
        <f t="shared" si="0"/>
        <v>51.282051282051277</v>
      </c>
      <c r="Q50" s="239">
        <f>SUM(M50:P50)</f>
        <v>205.12820512820511</v>
      </c>
      <c r="R50" s="110"/>
    </row>
    <row r="51" spans="1:25" ht="18.75" customHeight="1">
      <c r="A51" s="110"/>
      <c r="B51" s="138"/>
      <c r="C51" s="138"/>
      <c r="D51" s="138"/>
      <c r="E51" s="138"/>
      <c r="F51" s="138" t="s">
        <v>150</v>
      </c>
      <c r="G51" s="240"/>
      <c r="H51" s="138">
        <v>1</v>
      </c>
      <c r="I51" s="237">
        <f>IFERROR((60*'11.Region'!G10/('11.Region'!G3+'11.Region'!G10+(I19+I21+I22+G24))*10),100)</f>
        <v>100</v>
      </c>
      <c r="J51" s="237">
        <f>IF(I51&lt;60,60,IF(I51&gt;300,300,I51))</f>
        <v>100</v>
      </c>
      <c r="K51" s="607" t="str">
        <f>IFERROR(IF(J51=60,"0,5",IF(J51=300,"2",IF(J51&lt;180.1,"1","1,5"))),"1")</f>
        <v>1</v>
      </c>
      <c r="L51" s="607"/>
      <c r="M51" s="238">
        <f t="shared" si="0"/>
        <v>51.282051282051277</v>
      </c>
      <c r="N51" s="238">
        <f t="shared" si="0"/>
        <v>51.282051282051277</v>
      </c>
      <c r="O51" s="238">
        <f t="shared" si="0"/>
        <v>51.282051282051277</v>
      </c>
      <c r="P51" s="238">
        <f t="shared" si="0"/>
        <v>51.282051282051277</v>
      </c>
      <c r="Q51" s="239">
        <f>SUM(M51:P51)</f>
        <v>205.12820512820511</v>
      </c>
      <c r="R51" s="110"/>
    </row>
    <row r="52" spans="1:25" ht="18.75" customHeight="1">
      <c r="A52" s="110"/>
      <c r="B52" s="138"/>
      <c r="C52" s="138"/>
      <c r="D52" s="138"/>
      <c r="E52" s="138"/>
      <c r="F52" s="138" t="s">
        <v>151</v>
      </c>
      <c r="G52" s="240"/>
      <c r="H52" s="138">
        <v>1.5</v>
      </c>
      <c r="I52" s="138"/>
      <c r="J52" s="138"/>
      <c r="K52" s="607">
        <f>K32</f>
        <v>1</v>
      </c>
      <c r="L52" s="607"/>
      <c r="M52" s="238">
        <f t="shared" si="0"/>
        <v>51.282051282051277</v>
      </c>
      <c r="N52" s="238">
        <f t="shared" si="0"/>
        <v>51.282051282051277</v>
      </c>
      <c r="O52" s="238">
        <f t="shared" si="0"/>
        <v>51.282051282051277</v>
      </c>
      <c r="P52" s="238">
        <f t="shared" si="0"/>
        <v>51.282051282051277</v>
      </c>
      <c r="Q52" s="239">
        <f>SUM(M52:P52)</f>
        <v>205.12820512820511</v>
      </c>
      <c r="R52" s="110"/>
    </row>
    <row r="53" spans="1:25" ht="18.75" customHeight="1">
      <c r="A53" s="110"/>
      <c r="B53" s="138"/>
      <c r="C53" s="138"/>
      <c r="D53" s="138"/>
      <c r="E53" s="138"/>
      <c r="F53" s="138" t="s">
        <v>152</v>
      </c>
      <c r="G53" s="240"/>
      <c r="H53" s="138">
        <v>2</v>
      </c>
      <c r="I53" s="138"/>
      <c r="J53" s="138"/>
      <c r="K53" s="607">
        <f>K38</f>
        <v>1</v>
      </c>
      <c r="L53" s="607"/>
      <c r="M53" s="238">
        <f t="shared" si="0"/>
        <v>51.282051282051277</v>
      </c>
      <c r="N53" s="238">
        <f t="shared" si="0"/>
        <v>51.282051282051277</v>
      </c>
      <c r="O53" s="238">
        <f t="shared" si="0"/>
        <v>51.282051282051277</v>
      </c>
      <c r="P53" s="238">
        <f t="shared" si="0"/>
        <v>51.282051282051277</v>
      </c>
      <c r="Q53" s="239">
        <f>SUM(M53:P53)</f>
        <v>205.12820512820511</v>
      </c>
      <c r="R53" s="110"/>
    </row>
    <row r="54" spans="1:25" ht="18.75" customHeight="1">
      <c r="A54" s="110"/>
      <c r="B54" s="241"/>
      <c r="C54" s="241"/>
      <c r="D54" s="241"/>
      <c r="E54" s="241"/>
      <c r="F54" s="241"/>
      <c r="G54" s="241"/>
      <c r="H54" s="241"/>
      <c r="I54" s="241"/>
      <c r="J54" s="241"/>
      <c r="K54" s="241"/>
      <c r="L54" s="241"/>
      <c r="M54" s="242">
        <f>SUM(M49:M53)</f>
        <v>256.41025641025641</v>
      </c>
      <c r="N54" s="242">
        <f>SUM(N49:N53)</f>
        <v>256.41025641025641</v>
      </c>
      <c r="O54" s="242">
        <f>SUM(O49:O53)</f>
        <v>256.41025641025641</v>
      </c>
      <c r="P54" s="242">
        <f>SUM(P49:P53)</f>
        <v>230.76923076923075</v>
      </c>
      <c r="Q54" s="243">
        <f>SUM(Q49:Q53)</f>
        <v>999.99999999999989</v>
      </c>
      <c r="R54" s="110"/>
    </row>
    <row r="55" spans="1:25" ht="18.75" customHeight="1">
      <c r="A55" s="110"/>
      <c r="B55" s="110"/>
      <c r="C55" s="110"/>
      <c r="D55" s="110"/>
      <c r="E55" s="110"/>
      <c r="F55" s="110"/>
      <c r="G55" s="110"/>
      <c r="H55" s="110"/>
      <c r="I55" s="110"/>
      <c r="J55" s="110"/>
      <c r="K55" s="110"/>
      <c r="L55" s="110"/>
      <c r="M55" s="111"/>
      <c r="N55" s="111"/>
      <c r="O55" s="111"/>
      <c r="P55" s="111"/>
      <c r="Q55" s="110"/>
      <c r="R55" s="110"/>
    </row>
    <row r="56" spans="1:25" ht="24.75" customHeight="1">
      <c r="A56" s="110"/>
      <c r="B56" s="110"/>
      <c r="C56" s="110"/>
      <c r="D56" s="110"/>
      <c r="E56" s="110"/>
      <c r="F56" s="110"/>
      <c r="G56" s="110"/>
      <c r="H56" s="110"/>
      <c r="I56" s="110"/>
      <c r="J56" s="110"/>
      <c r="K56" s="110"/>
      <c r="L56" s="110"/>
      <c r="M56" s="111"/>
      <c r="N56" s="111"/>
      <c r="O56" s="111"/>
      <c r="P56" s="111"/>
      <c r="Q56" s="110"/>
      <c r="R56" s="110"/>
    </row>
    <row r="57" spans="1:25" ht="24.75" customHeight="1">
      <c r="A57" s="110"/>
      <c r="B57" s="110"/>
      <c r="C57" s="110"/>
      <c r="D57" s="110"/>
      <c r="E57" s="110"/>
      <c r="F57" s="110"/>
      <c r="G57" s="110"/>
      <c r="H57" s="110"/>
      <c r="I57" s="110"/>
      <c r="J57" s="110"/>
      <c r="K57" s="110"/>
      <c r="L57" s="110"/>
      <c r="M57" s="111"/>
      <c r="N57" s="111"/>
      <c r="O57" s="111"/>
      <c r="P57" s="111"/>
      <c r="Q57" s="110"/>
      <c r="R57" s="110"/>
    </row>
    <row r="58" spans="1:25" ht="27.75" customHeight="1">
      <c r="A58" s="110"/>
      <c r="B58" s="608"/>
      <c r="C58" s="608"/>
      <c r="D58" s="608"/>
      <c r="E58" s="608"/>
      <c r="F58" s="608"/>
      <c r="G58" s="608"/>
      <c r="H58" s="608"/>
      <c r="I58" s="608"/>
      <c r="J58" s="608"/>
      <c r="K58" s="608"/>
      <c r="L58" s="608"/>
      <c r="M58" s="608"/>
      <c r="N58" s="608"/>
      <c r="O58" s="608"/>
      <c r="P58" s="608"/>
      <c r="Q58" s="608"/>
      <c r="R58" s="112"/>
      <c r="S58" s="112"/>
    </row>
    <row r="59" spans="1:25" ht="27.75" customHeight="1">
      <c r="A59" s="110"/>
      <c r="B59" s="126"/>
      <c r="C59" s="126"/>
      <c r="D59" s="126"/>
      <c r="E59" s="126"/>
      <c r="F59" s="126"/>
      <c r="G59" s="126"/>
      <c r="H59" s="126"/>
      <c r="I59" s="126"/>
      <c r="J59" s="126"/>
      <c r="K59" s="126"/>
      <c r="L59" s="126"/>
      <c r="M59" s="449" t="s">
        <v>144</v>
      </c>
      <c r="N59" s="449" t="s">
        <v>145</v>
      </c>
      <c r="O59" s="449" t="s">
        <v>101</v>
      </c>
      <c r="P59" s="449" t="s">
        <v>146</v>
      </c>
      <c r="Q59" s="121"/>
      <c r="R59" s="112"/>
      <c r="S59" s="112"/>
    </row>
    <row r="60" spans="1:25" ht="19.5" customHeight="1">
      <c r="A60" s="110"/>
      <c r="B60" s="126"/>
      <c r="C60" s="126"/>
      <c r="D60" s="126"/>
      <c r="E60" s="126"/>
      <c r="F60" s="126"/>
      <c r="G60" s="126"/>
      <c r="H60" s="126"/>
      <c r="I60" s="126"/>
      <c r="J60" s="126"/>
      <c r="K60" s="126"/>
      <c r="L60" s="126"/>
      <c r="M60" s="449"/>
      <c r="N60" s="449"/>
      <c r="O60" s="449"/>
      <c r="P60" s="449"/>
      <c r="Q60" s="121"/>
      <c r="R60" s="110"/>
    </row>
    <row r="61" spans="1:25" s="244" customFormat="1" ht="23.25" customHeight="1">
      <c r="A61" s="112"/>
      <c r="B61" s="126"/>
      <c r="C61" s="126"/>
      <c r="D61" s="126"/>
      <c r="E61" s="126"/>
      <c r="F61" s="126"/>
      <c r="G61" s="126"/>
      <c r="H61" s="126"/>
      <c r="I61" s="126"/>
      <c r="J61" s="126"/>
      <c r="K61" s="126"/>
      <c r="L61" s="126"/>
      <c r="M61" s="448">
        <v>1</v>
      </c>
      <c r="N61" s="448">
        <v>1</v>
      </c>
      <c r="O61" s="448">
        <v>1</v>
      </c>
      <c r="P61" s="448">
        <v>1</v>
      </c>
      <c r="Q61" s="121"/>
      <c r="R61" s="110"/>
      <c r="S61" s="110"/>
      <c r="T61" s="112"/>
      <c r="U61" s="112"/>
      <c r="V61" s="112"/>
      <c r="W61" s="112"/>
      <c r="X61" s="112"/>
      <c r="Y61" s="112"/>
    </row>
    <row r="62" spans="1:25" s="244" customFormat="1" ht="54" customHeight="1">
      <c r="A62" s="112"/>
      <c r="B62" s="234"/>
      <c r="C62" s="234"/>
      <c r="D62" s="234"/>
      <c r="E62" s="234"/>
      <c r="F62" s="234"/>
      <c r="G62" s="234"/>
      <c r="H62" s="234"/>
      <c r="I62" s="234"/>
      <c r="J62" s="234"/>
      <c r="K62" s="245" t="str">
        <f>K49</f>
        <v>1</v>
      </c>
      <c r="L62" s="245"/>
      <c r="M62" s="246">
        <f>M14*$K$62</f>
        <v>1</v>
      </c>
      <c r="N62" s="246">
        <f>N14*$K$62</f>
        <v>1</v>
      </c>
      <c r="O62" s="246">
        <f>O14*$K$62</f>
        <v>1</v>
      </c>
      <c r="P62" s="246">
        <f>P14*$K$62</f>
        <v>0.5</v>
      </c>
      <c r="Q62" s="239">
        <f>SUM(M62:P62)</f>
        <v>3.5</v>
      </c>
      <c r="R62" s="110"/>
      <c r="S62" s="110"/>
      <c r="T62" s="112"/>
      <c r="U62" s="112"/>
      <c r="V62" s="112"/>
      <c r="W62" s="112"/>
      <c r="X62" s="112"/>
      <c r="Y62" s="112"/>
    </row>
    <row r="63" spans="1:25" ht="27" customHeight="1">
      <c r="A63" s="110"/>
      <c r="B63" s="138"/>
      <c r="C63" s="138"/>
      <c r="D63" s="138"/>
      <c r="E63" s="138"/>
      <c r="F63" s="138"/>
      <c r="G63" s="138"/>
      <c r="H63" s="138"/>
      <c r="I63" s="138"/>
      <c r="J63" s="138"/>
      <c r="K63" s="245" t="str">
        <f>K50</f>
        <v>1</v>
      </c>
      <c r="L63" s="245"/>
      <c r="M63" s="246">
        <f>M22*$K$63</f>
        <v>1</v>
      </c>
      <c r="N63" s="246">
        <f>N22*$K$63</f>
        <v>1</v>
      </c>
      <c r="O63" s="246">
        <f>O22*$K$63</f>
        <v>1</v>
      </c>
      <c r="P63" s="246">
        <f>P22*$K$63</f>
        <v>1</v>
      </c>
      <c r="Q63" s="239">
        <f>SUM(M63:P63)</f>
        <v>4</v>
      </c>
      <c r="R63" s="110"/>
    </row>
    <row r="64" spans="1:25" ht="29.25" customHeight="1">
      <c r="A64" s="110"/>
      <c r="B64" s="138"/>
      <c r="C64" s="138"/>
      <c r="D64" s="138"/>
      <c r="E64" s="138"/>
      <c r="F64" s="138"/>
      <c r="G64" s="138"/>
      <c r="H64" s="138"/>
      <c r="I64" s="138"/>
      <c r="J64" s="138"/>
      <c r="K64" s="245" t="str">
        <f>K51</f>
        <v>1</v>
      </c>
      <c r="L64" s="245"/>
      <c r="M64" s="246">
        <f>M28*$K$64</f>
        <v>1</v>
      </c>
      <c r="N64" s="246">
        <f>N28*$K$64</f>
        <v>1</v>
      </c>
      <c r="O64" s="246">
        <f>O28*$K$64</f>
        <v>1</v>
      </c>
      <c r="P64" s="246">
        <f>P28*$K$64</f>
        <v>1</v>
      </c>
      <c r="Q64" s="239">
        <f>SUM(M64:P64)</f>
        <v>4</v>
      </c>
      <c r="R64" s="110"/>
    </row>
    <row r="65" spans="1:18" ht="24" customHeight="1">
      <c r="A65" s="110"/>
      <c r="B65" s="138"/>
      <c r="C65" s="138"/>
      <c r="D65" s="138"/>
      <c r="E65" s="138"/>
      <c r="F65" s="138"/>
      <c r="G65" s="138"/>
      <c r="H65" s="138"/>
      <c r="I65" s="138"/>
      <c r="J65" s="138"/>
      <c r="K65" s="245">
        <f>K52</f>
        <v>1</v>
      </c>
      <c r="L65" s="234"/>
      <c r="M65" s="246">
        <f>M35</f>
        <v>1</v>
      </c>
      <c r="N65" s="246">
        <f>N35</f>
        <v>1</v>
      </c>
      <c r="O65" s="246">
        <f>O35</f>
        <v>1</v>
      </c>
      <c r="P65" s="246">
        <f>P35</f>
        <v>1</v>
      </c>
      <c r="Q65" s="239">
        <f>SUM(M65:P65)</f>
        <v>4</v>
      </c>
      <c r="R65" s="110"/>
    </row>
    <row r="66" spans="1:18" ht="24" customHeight="1">
      <c r="A66" s="110"/>
      <c r="B66" s="138"/>
      <c r="C66" s="138"/>
      <c r="D66" s="138"/>
      <c r="E66" s="138"/>
      <c r="F66" s="138"/>
      <c r="G66" s="138"/>
      <c r="H66" s="138"/>
      <c r="I66" s="138"/>
      <c r="J66" s="138"/>
      <c r="K66" s="245">
        <f>K53</f>
        <v>1</v>
      </c>
      <c r="L66" s="234"/>
      <c r="M66" s="246">
        <f>M41</f>
        <v>1</v>
      </c>
      <c r="N66" s="246">
        <f>N41</f>
        <v>1</v>
      </c>
      <c r="O66" s="246">
        <f>O41</f>
        <v>1</v>
      </c>
      <c r="P66" s="246">
        <f>P41</f>
        <v>1</v>
      </c>
      <c r="Q66" s="239">
        <f>SUM(M66:P66)</f>
        <v>4</v>
      </c>
      <c r="R66" s="110"/>
    </row>
    <row r="67" spans="1:18" ht="24" customHeight="1">
      <c r="A67" s="110"/>
      <c r="B67" s="241"/>
      <c r="C67" s="241"/>
      <c r="D67" s="241"/>
      <c r="E67" s="241"/>
      <c r="F67" s="241"/>
      <c r="G67" s="241"/>
      <c r="H67" s="241"/>
      <c r="I67" s="241"/>
      <c r="J67" s="241"/>
      <c r="K67" s="241"/>
      <c r="L67" s="241"/>
      <c r="M67" s="242">
        <f>SUM(M62:M66)</f>
        <v>5</v>
      </c>
      <c r="N67" s="242">
        <f>SUM(N62:N66)</f>
        <v>5</v>
      </c>
      <c r="O67" s="242">
        <f>SUM(O62:O66)</f>
        <v>5</v>
      </c>
      <c r="P67" s="242">
        <f>SUM(P62:P66)</f>
        <v>4.5</v>
      </c>
      <c r="Q67" s="243">
        <f>SUM(Q62:Q66)</f>
        <v>19.5</v>
      </c>
      <c r="R67" s="110"/>
    </row>
    <row r="68" spans="1:18" ht="24" customHeight="1">
      <c r="A68" s="110"/>
      <c r="B68" s="110"/>
      <c r="C68" s="110"/>
      <c r="D68" s="110"/>
      <c r="E68" s="110"/>
      <c r="F68" s="110"/>
      <c r="G68" s="110"/>
      <c r="H68" s="110"/>
      <c r="I68" s="110"/>
      <c r="J68" s="110"/>
      <c r="K68" s="110"/>
      <c r="L68" s="110"/>
      <c r="M68" s="111"/>
      <c r="N68" s="111"/>
      <c r="O68" s="111"/>
      <c r="P68" s="111"/>
      <c r="Q68" s="110"/>
      <c r="R68" s="110"/>
    </row>
    <row r="69" spans="1:18" ht="36" customHeight="1">
      <c r="A69" s="110"/>
      <c r="B69" s="110"/>
      <c r="C69" s="110"/>
      <c r="D69" s="110"/>
      <c r="E69" s="110"/>
      <c r="F69" s="110"/>
      <c r="G69" s="110"/>
      <c r="H69" s="110"/>
      <c r="I69" s="110"/>
      <c r="J69" s="110"/>
      <c r="K69" s="110"/>
      <c r="L69" s="110"/>
      <c r="M69" s="111"/>
      <c r="N69" s="111"/>
      <c r="O69" s="111"/>
      <c r="P69" s="111"/>
      <c r="Q69" s="110"/>
      <c r="R69" s="110"/>
    </row>
    <row r="70" spans="1:18" ht="24" customHeight="1">
      <c r="A70" s="110"/>
      <c r="B70" s="110" t="s">
        <v>153</v>
      </c>
      <c r="C70" s="110"/>
      <c r="D70" s="110"/>
      <c r="E70" s="110"/>
      <c r="F70" s="110"/>
      <c r="G70" s="110"/>
      <c r="H70" s="110"/>
      <c r="I70" s="110"/>
      <c r="J70" s="110"/>
      <c r="K70" s="110"/>
      <c r="L70" s="110"/>
      <c r="M70" s="111"/>
      <c r="N70" s="111"/>
      <c r="O70" s="111"/>
      <c r="P70" s="111"/>
      <c r="Q70" s="110"/>
      <c r="R70" s="110"/>
    </row>
    <row r="71" spans="1:18" ht="12" customHeight="1">
      <c r="A71" s="110"/>
      <c r="B71" s="110"/>
      <c r="C71" s="110"/>
      <c r="D71" s="110"/>
      <c r="E71" s="110"/>
      <c r="F71" s="110"/>
      <c r="G71" s="110"/>
      <c r="H71" s="110"/>
      <c r="I71" s="110"/>
      <c r="J71" s="110"/>
      <c r="K71" s="110"/>
      <c r="L71" s="110"/>
      <c r="M71" s="111"/>
      <c r="N71" s="111"/>
      <c r="O71" s="111"/>
      <c r="P71" s="111"/>
      <c r="Q71" s="110"/>
      <c r="R71" s="110"/>
    </row>
    <row r="72" spans="1:18" ht="12" customHeight="1">
      <c r="A72" s="110"/>
      <c r="B72" s="110"/>
      <c r="C72" s="110"/>
      <c r="D72" s="110"/>
      <c r="E72" s="110"/>
      <c r="F72" s="110"/>
      <c r="G72" s="110"/>
      <c r="H72" s="110"/>
      <c r="I72" s="110"/>
      <c r="J72" s="110"/>
      <c r="K72" s="110"/>
      <c r="L72" s="110"/>
      <c r="M72" s="111"/>
      <c r="N72" s="111"/>
      <c r="O72" s="111"/>
      <c r="P72" s="111"/>
      <c r="Q72" s="110"/>
      <c r="R72" s="110"/>
    </row>
    <row r="73" spans="1:18" ht="12" customHeight="1">
      <c r="A73" s="110"/>
      <c r="B73" s="110"/>
      <c r="C73" s="110"/>
      <c r="D73" s="110"/>
      <c r="E73" s="110"/>
      <c r="F73" s="110"/>
      <c r="G73" s="110"/>
      <c r="H73" s="110"/>
      <c r="I73" s="110"/>
      <c r="J73" s="110"/>
      <c r="K73" s="110"/>
      <c r="L73" s="110"/>
      <c r="M73" s="111"/>
      <c r="N73" s="111"/>
      <c r="O73" s="111"/>
      <c r="P73" s="111"/>
      <c r="Q73" s="110"/>
      <c r="R73" s="110"/>
    </row>
    <row r="74" spans="1:18" ht="12" customHeight="1">
      <c r="A74" s="110"/>
    </row>
    <row r="75" spans="1:18" ht="12" customHeight="1">
      <c r="A75" s="110"/>
    </row>
    <row r="76" spans="1:18" ht="12" customHeight="1">
      <c r="A76" s="110"/>
    </row>
    <row r="119" spans="1:18" ht="12" customHeight="1">
      <c r="A119" s="110"/>
      <c r="B119" s="110"/>
      <c r="C119" s="110"/>
      <c r="D119" s="110"/>
      <c r="E119" s="110"/>
      <c r="F119" s="110"/>
      <c r="G119" s="110"/>
      <c r="H119" s="110"/>
      <c r="I119" s="110"/>
      <c r="J119" s="110"/>
      <c r="K119" s="110"/>
      <c r="L119" s="110"/>
      <c r="M119" s="111"/>
      <c r="N119" s="111"/>
      <c r="O119" s="111"/>
      <c r="P119" s="111"/>
      <c r="Q119" s="110"/>
      <c r="R119" s="110"/>
    </row>
    <row r="120" spans="1:18" ht="12" customHeight="1">
      <c r="A120" s="110"/>
      <c r="B120" s="110"/>
      <c r="C120" s="110"/>
      <c r="D120" s="110"/>
      <c r="E120" s="110"/>
      <c r="F120" s="110"/>
      <c r="G120" s="110"/>
      <c r="H120" s="110"/>
      <c r="I120" s="110"/>
      <c r="J120" s="110"/>
      <c r="K120" s="110"/>
      <c r="L120" s="110"/>
      <c r="M120" s="111"/>
      <c r="N120" s="111"/>
      <c r="O120" s="111"/>
      <c r="P120" s="111"/>
      <c r="Q120" s="110"/>
      <c r="R120" s="110"/>
    </row>
    <row r="121" spans="1:18" ht="12" customHeight="1">
      <c r="A121" s="110"/>
      <c r="B121" s="110"/>
      <c r="C121" s="110"/>
      <c r="D121" s="110"/>
      <c r="E121" s="110"/>
      <c r="F121" s="110"/>
      <c r="G121" s="110"/>
      <c r="H121" s="110"/>
      <c r="I121" s="110"/>
      <c r="J121" s="110"/>
      <c r="K121" s="110"/>
      <c r="L121" s="110"/>
      <c r="M121" s="111"/>
      <c r="N121" s="111"/>
      <c r="O121" s="111"/>
      <c r="P121" s="111"/>
      <c r="Q121" s="110"/>
      <c r="R121" s="110"/>
    </row>
    <row r="122" spans="1:18" ht="12" customHeight="1">
      <c r="A122" s="110"/>
      <c r="B122" s="110"/>
      <c r="C122" s="110"/>
      <c r="D122" s="110"/>
      <c r="E122" s="110"/>
      <c r="F122" s="110"/>
      <c r="G122" s="110"/>
      <c r="H122" s="110"/>
      <c r="I122" s="110"/>
      <c r="J122" s="110"/>
      <c r="K122" s="110"/>
      <c r="L122" s="110"/>
      <c r="M122" s="111"/>
      <c r="N122" s="111"/>
      <c r="O122" s="111"/>
      <c r="P122" s="111"/>
      <c r="Q122" s="110"/>
      <c r="R122" s="110"/>
    </row>
    <row r="123" spans="1:18" ht="12" customHeight="1">
      <c r="A123" s="110"/>
      <c r="B123" s="110"/>
      <c r="C123" s="110"/>
      <c r="D123" s="110"/>
      <c r="E123" s="110"/>
      <c r="F123" s="110"/>
      <c r="G123" s="110"/>
      <c r="H123" s="110"/>
      <c r="I123" s="110"/>
      <c r="J123" s="110"/>
      <c r="K123" s="110"/>
      <c r="L123" s="110"/>
      <c r="M123" s="111"/>
      <c r="N123" s="111"/>
      <c r="O123" s="111"/>
      <c r="P123" s="111"/>
      <c r="Q123" s="110"/>
      <c r="R123" s="110"/>
    </row>
    <row r="124" spans="1:18" ht="12" customHeight="1">
      <c r="A124" s="110"/>
      <c r="B124" s="110"/>
      <c r="C124" s="110"/>
      <c r="D124" s="110"/>
      <c r="E124" s="110"/>
      <c r="F124" s="110"/>
      <c r="G124" s="110"/>
      <c r="H124" s="110"/>
      <c r="I124" s="110"/>
      <c r="J124" s="110"/>
      <c r="K124" s="110"/>
      <c r="L124" s="110"/>
      <c r="M124" s="111"/>
      <c r="N124" s="111"/>
      <c r="O124" s="111"/>
      <c r="P124" s="111"/>
      <c r="Q124" s="110"/>
      <c r="R124" s="110"/>
    </row>
    <row r="125" spans="1:18" ht="12" customHeight="1">
      <c r="A125" s="110"/>
      <c r="B125" s="110"/>
      <c r="C125" s="110"/>
      <c r="D125" s="110"/>
      <c r="E125" s="110"/>
      <c r="F125" s="110"/>
      <c r="G125" s="110"/>
      <c r="H125" s="110"/>
      <c r="I125" s="110"/>
      <c r="J125" s="110"/>
      <c r="K125" s="110"/>
      <c r="L125" s="110"/>
      <c r="M125" s="111"/>
      <c r="N125" s="111"/>
      <c r="O125" s="111"/>
      <c r="P125" s="111"/>
      <c r="Q125" s="110"/>
      <c r="R125" s="110"/>
    </row>
    <row r="126" spans="1:18" ht="12" customHeight="1">
      <c r="A126" s="110"/>
      <c r="B126" s="110"/>
      <c r="C126" s="110"/>
      <c r="D126" s="110"/>
      <c r="E126" s="110"/>
      <c r="F126" s="110"/>
      <c r="G126" s="110"/>
      <c r="H126" s="110"/>
      <c r="I126" s="110"/>
      <c r="J126" s="110"/>
      <c r="K126" s="110"/>
      <c r="L126" s="110"/>
      <c r="M126" s="111"/>
      <c r="N126" s="111"/>
      <c r="O126" s="111"/>
      <c r="P126" s="111"/>
      <c r="Q126" s="110"/>
      <c r="R126" s="110"/>
    </row>
    <row r="127" spans="1:18" ht="12" customHeight="1">
      <c r="A127" s="110"/>
      <c r="B127" s="110"/>
      <c r="C127" s="110"/>
      <c r="D127" s="110"/>
      <c r="E127" s="110"/>
      <c r="F127" s="110"/>
      <c r="G127" s="110"/>
      <c r="H127" s="110"/>
      <c r="I127" s="110"/>
      <c r="J127" s="110"/>
      <c r="K127" s="110"/>
      <c r="L127" s="110"/>
      <c r="M127" s="111"/>
      <c r="N127" s="111"/>
      <c r="O127" s="111"/>
      <c r="P127" s="111"/>
      <c r="Q127" s="110"/>
      <c r="R127" s="110"/>
    </row>
    <row r="128" spans="1:18" ht="12" customHeight="1">
      <c r="A128" s="110"/>
      <c r="B128" s="110"/>
      <c r="C128" s="110"/>
      <c r="D128" s="110"/>
      <c r="E128" s="110"/>
      <c r="F128" s="110"/>
      <c r="G128" s="110"/>
      <c r="H128" s="110"/>
      <c r="I128" s="110"/>
      <c r="J128" s="110"/>
      <c r="K128" s="110"/>
      <c r="L128" s="110"/>
      <c r="M128" s="111"/>
      <c r="N128" s="111"/>
      <c r="O128" s="111"/>
      <c r="P128" s="111"/>
      <c r="Q128" s="110"/>
      <c r="R128" s="110"/>
    </row>
    <row r="129" spans="1:18" ht="12" customHeight="1">
      <c r="A129" s="110"/>
      <c r="B129" s="110"/>
      <c r="C129" s="110"/>
      <c r="D129" s="110"/>
      <c r="E129" s="110"/>
      <c r="F129" s="110"/>
      <c r="G129" s="110"/>
      <c r="H129" s="110"/>
      <c r="I129" s="110"/>
      <c r="J129" s="110"/>
      <c r="K129" s="110"/>
      <c r="L129" s="110"/>
      <c r="M129" s="111"/>
      <c r="N129" s="111"/>
      <c r="O129" s="111"/>
      <c r="P129" s="111"/>
      <c r="Q129" s="110"/>
      <c r="R129" s="110"/>
    </row>
    <row r="130" spans="1:18" ht="12" customHeight="1">
      <c r="A130" s="110"/>
      <c r="B130" s="110"/>
      <c r="C130" s="110"/>
      <c r="D130" s="110"/>
      <c r="E130" s="110"/>
      <c r="F130" s="110"/>
      <c r="G130" s="110"/>
      <c r="H130" s="110"/>
      <c r="I130" s="110"/>
      <c r="J130" s="110"/>
      <c r="K130" s="110"/>
      <c r="L130" s="110"/>
      <c r="M130" s="111"/>
      <c r="N130" s="111"/>
      <c r="O130" s="111"/>
      <c r="P130" s="111"/>
      <c r="Q130" s="110"/>
      <c r="R130" s="110"/>
    </row>
    <row r="131" spans="1:18" ht="12" customHeight="1">
      <c r="A131" s="110"/>
      <c r="B131" s="110"/>
      <c r="C131" s="110"/>
      <c r="D131" s="110"/>
      <c r="E131" s="110"/>
      <c r="F131" s="110"/>
      <c r="G131" s="110"/>
      <c r="H131" s="110"/>
      <c r="I131" s="110"/>
      <c r="J131" s="110"/>
      <c r="K131" s="110"/>
      <c r="L131" s="110"/>
      <c r="M131" s="111"/>
      <c r="N131" s="111"/>
      <c r="O131" s="111"/>
      <c r="P131" s="111"/>
      <c r="Q131" s="110"/>
      <c r="R131" s="110"/>
    </row>
    <row r="132" spans="1:18" ht="12" customHeight="1">
      <c r="A132" s="110"/>
      <c r="B132" s="110"/>
      <c r="C132" s="110"/>
      <c r="D132" s="110"/>
      <c r="E132" s="110"/>
      <c r="F132" s="110"/>
      <c r="G132" s="110"/>
      <c r="H132" s="110"/>
      <c r="I132" s="110"/>
      <c r="J132" s="110"/>
      <c r="K132" s="110"/>
      <c r="L132" s="110"/>
      <c r="M132" s="111"/>
      <c r="N132" s="111"/>
      <c r="O132" s="111"/>
      <c r="P132" s="111"/>
      <c r="Q132" s="110"/>
      <c r="R132" s="110"/>
    </row>
    <row r="133" spans="1:18" ht="12" customHeight="1">
      <c r="A133" s="110"/>
      <c r="B133" s="110"/>
      <c r="C133" s="110"/>
      <c r="D133" s="110"/>
      <c r="E133" s="110"/>
      <c r="F133" s="110"/>
      <c r="G133" s="110"/>
      <c r="H133" s="110"/>
      <c r="I133" s="110"/>
      <c r="J133" s="110"/>
      <c r="K133" s="110"/>
      <c r="L133" s="110"/>
      <c r="M133" s="111"/>
      <c r="N133" s="111"/>
      <c r="O133" s="111"/>
      <c r="P133" s="111"/>
      <c r="Q133" s="110"/>
      <c r="R133" s="110"/>
    </row>
    <row r="134" spans="1:18" ht="12" customHeight="1">
      <c r="A134" s="110"/>
      <c r="B134" s="110"/>
      <c r="C134" s="110"/>
      <c r="D134" s="110"/>
      <c r="E134" s="110"/>
      <c r="F134" s="110"/>
      <c r="G134" s="110"/>
      <c r="H134" s="110"/>
      <c r="I134" s="110"/>
      <c r="J134" s="110"/>
      <c r="K134" s="110"/>
      <c r="L134" s="110"/>
      <c r="M134" s="111"/>
      <c r="N134" s="111"/>
      <c r="O134" s="111"/>
      <c r="P134" s="111"/>
      <c r="Q134" s="110"/>
      <c r="R134" s="110"/>
    </row>
    <row r="135" spans="1:18" ht="12" customHeight="1">
      <c r="A135" s="110"/>
      <c r="B135" s="110"/>
      <c r="C135" s="110"/>
      <c r="D135" s="110"/>
      <c r="E135" s="110"/>
      <c r="F135" s="110"/>
      <c r="G135" s="110"/>
      <c r="H135" s="110"/>
      <c r="I135" s="110"/>
      <c r="J135" s="110"/>
      <c r="K135" s="110"/>
      <c r="L135" s="110"/>
      <c r="M135" s="111"/>
      <c r="N135" s="111"/>
      <c r="O135" s="111"/>
      <c r="P135" s="111"/>
      <c r="Q135" s="110"/>
      <c r="R135" s="110"/>
    </row>
    <row r="136" spans="1:18" ht="12" customHeight="1">
      <c r="A136" s="247"/>
      <c r="B136" s="110"/>
      <c r="C136" s="110"/>
      <c r="D136" s="110"/>
      <c r="E136" s="110"/>
      <c r="F136" s="110"/>
      <c r="G136" s="110"/>
      <c r="H136" s="110"/>
      <c r="I136" s="110"/>
      <c r="J136" s="110"/>
      <c r="K136" s="110"/>
      <c r="L136" s="110"/>
      <c r="M136" s="111"/>
      <c r="N136" s="111"/>
      <c r="O136" s="111"/>
      <c r="P136" s="111"/>
      <c r="Q136" s="110"/>
      <c r="R136" s="110"/>
    </row>
    <row r="137" spans="1:18" ht="12" customHeight="1">
      <c r="A137" s="247"/>
      <c r="B137" s="110"/>
      <c r="C137" s="110"/>
      <c r="D137" s="110"/>
      <c r="E137" s="110"/>
      <c r="F137" s="110"/>
      <c r="G137" s="110"/>
      <c r="H137" s="110"/>
      <c r="I137" s="110"/>
      <c r="J137" s="110"/>
      <c r="K137" s="110"/>
      <c r="L137" s="110"/>
      <c r="M137" s="111"/>
      <c r="N137" s="111"/>
      <c r="O137" s="111"/>
      <c r="P137" s="111"/>
      <c r="Q137" s="110"/>
      <c r="R137" s="110"/>
    </row>
    <row r="138" spans="1:18" ht="12" customHeight="1">
      <c r="A138" s="247"/>
      <c r="B138" s="110"/>
      <c r="C138" s="110"/>
      <c r="D138" s="110"/>
      <c r="E138" s="110"/>
      <c r="F138" s="110"/>
      <c r="G138" s="110"/>
      <c r="H138" s="110"/>
      <c r="I138" s="110"/>
      <c r="J138" s="110"/>
      <c r="K138" s="110"/>
      <c r="L138" s="110"/>
      <c r="M138" s="111"/>
      <c r="N138" s="111"/>
      <c r="O138" s="111"/>
      <c r="P138" s="111"/>
      <c r="Q138" s="110"/>
      <c r="R138" s="110"/>
    </row>
    <row r="139" spans="1:18" ht="12" customHeight="1">
      <c r="A139" s="110"/>
      <c r="B139" s="110"/>
      <c r="C139" s="110"/>
      <c r="D139" s="110"/>
      <c r="E139" s="110"/>
      <c r="F139" s="110"/>
      <c r="G139" s="110"/>
      <c r="H139" s="110"/>
      <c r="I139" s="110"/>
      <c r="J139" s="110"/>
      <c r="K139" s="110"/>
      <c r="L139" s="110"/>
      <c r="M139" s="111"/>
      <c r="N139" s="111"/>
      <c r="O139" s="111"/>
      <c r="P139" s="111"/>
      <c r="Q139" s="110"/>
      <c r="R139" s="110"/>
    </row>
    <row r="140" spans="1:18" ht="12" customHeight="1">
      <c r="A140" s="110"/>
      <c r="B140" s="110"/>
      <c r="C140" s="110"/>
      <c r="D140" s="110"/>
      <c r="E140" s="110"/>
      <c r="F140" s="110"/>
      <c r="G140" s="110"/>
      <c r="H140" s="110"/>
      <c r="I140" s="110"/>
      <c r="J140" s="110"/>
      <c r="K140" s="110"/>
      <c r="L140" s="110"/>
      <c r="M140" s="111"/>
      <c r="N140" s="111"/>
      <c r="O140" s="111"/>
      <c r="P140" s="111"/>
      <c r="Q140" s="110"/>
      <c r="R140" s="110"/>
    </row>
    <row r="141" spans="1:18" ht="12" customHeight="1">
      <c r="A141" s="110"/>
      <c r="B141" s="110"/>
      <c r="C141" s="110"/>
      <c r="D141" s="110"/>
      <c r="E141" s="110"/>
      <c r="F141" s="110"/>
      <c r="G141" s="110"/>
      <c r="H141" s="110"/>
      <c r="I141" s="110"/>
      <c r="J141" s="110"/>
      <c r="K141" s="110"/>
      <c r="L141" s="110"/>
      <c r="M141" s="111"/>
      <c r="N141" s="111"/>
      <c r="O141" s="111"/>
      <c r="P141" s="111"/>
      <c r="Q141" s="110"/>
      <c r="R141" s="110"/>
    </row>
    <row r="142" spans="1:18" ht="12" customHeight="1">
      <c r="A142" s="110"/>
      <c r="B142" s="110"/>
      <c r="C142" s="110"/>
      <c r="D142" s="110"/>
      <c r="E142" s="110"/>
      <c r="F142" s="110"/>
      <c r="G142" s="110"/>
      <c r="H142" s="110"/>
      <c r="I142" s="110"/>
      <c r="J142" s="110"/>
      <c r="K142" s="110"/>
      <c r="L142" s="110"/>
      <c r="M142" s="111"/>
      <c r="N142" s="111"/>
      <c r="O142" s="111"/>
      <c r="P142" s="111"/>
      <c r="Q142" s="110"/>
      <c r="R142" s="110"/>
    </row>
    <row r="143" spans="1:18" ht="12" customHeight="1">
      <c r="A143" s="110"/>
      <c r="B143" s="110"/>
      <c r="C143" s="110"/>
      <c r="D143" s="110"/>
      <c r="E143" s="110"/>
      <c r="F143" s="110"/>
      <c r="G143" s="110"/>
      <c r="H143" s="110"/>
      <c r="I143" s="110"/>
      <c r="J143" s="110"/>
      <c r="K143" s="110"/>
      <c r="L143" s="110"/>
      <c r="M143" s="111"/>
      <c r="N143" s="111"/>
      <c r="O143" s="111"/>
      <c r="P143" s="111"/>
      <c r="Q143" s="110"/>
      <c r="R143" s="110"/>
    </row>
    <row r="144" spans="1:18" ht="12" customHeight="1">
      <c r="A144" s="110"/>
      <c r="B144" s="110"/>
      <c r="C144" s="110"/>
      <c r="D144" s="110"/>
      <c r="E144" s="110"/>
      <c r="F144" s="110"/>
      <c r="G144" s="110"/>
      <c r="H144" s="110"/>
      <c r="I144" s="110"/>
      <c r="J144" s="110"/>
      <c r="K144" s="110"/>
      <c r="L144" s="110"/>
      <c r="M144" s="111"/>
      <c r="N144" s="111"/>
      <c r="O144" s="111"/>
      <c r="P144" s="111"/>
      <c r="Q144" s="110"/>
      <c r="R144" s="110"/>
    </row>
    <row r="145" spans="1:18" ht="12" customHeight="1">
      <c r="A145" s="110"/>
      <c r="B145" s="110"/>
      <c r="C145" s="110"/>
      <c r="D145" s="110"/>
      <c r="E145" s="110"/>
      <c r="F145" s="110"/>
      <c r="G145" s="110"/>
      <c r="H145" s="110"/>
      <c r="I145" s="110"/>
      <c r="J145" s="110"/>
      <c r="K145" s="110"/>
      <c r="L145" s="110"/>
      <c r="M145" s="111"/>
      <c r="N145" s="111"/>
      <c r="O145" s="111"/>
      <c r="P145" s="111"/>
      <c r="Q145" s="110"/>
      <c r="R145" s="110"/>
    </row>
    <row r="146" spans="1:18" ht="12" customHeight="1">
      <c r="A146" s="110"/>
      <c r="B146" s="110"/>
      <c r="C146" s="110"/>
      <c r="D146" s="110"/>
      <c r="E146" s="110"/>
      <c r="F146" s="110"/>
      <c r="G146" s="110"/>
      <c r="H146" s="110"/>
      <c r="I146" s="110"/>
      <c r="J146" s="110"/>
      <c r="K146" s="110"/>
      <c r="L146" s="110"/>
      <c r="M146" s="111"/>
      <c r="N146" s="111"/>
      <c r="O146" s="111"/>
      <c r="P146" s="111"/>
      <c r="Q146" s="110"/>
      <c r="R146" s="110"/>
    </row>
    <row r="147" spans="1:18" ht="12" customHeight="1">
      <c r="A147" s="110"/>
      <c r="B147" s="110"/>
      <c r="C147" s="110"/>
      <c r="D147" s="110"/>
      <c r="E147" s="110"/>
      <c r="F147" s="110"/>
      <c r="G147" s="110"/>
      <c r="H147" s="110"/>
      <c r="I147" s="110"/>
      <c r="J147" s="110"/>
      <c r="K147" s="110"/>
      <c r="L147" s="110"/>
      <c r="M147" s="111"/>
      <c r="N147" s="111"/>
      <c r="O147" s="111"/>
      <c r="P147" s="111"/>
      <c r="Q147" s="110"/>
      <c r="R147" s="110"/>
    </row>
    <row r="148" spans="1:18" ht="12" customHeight="1">
      <c r="A148" s="110"/>
      <c r="B148" s="110"/>
      <c r="C148" s="110"/>
      <c r="D148" s="110"/>
      <c r="E148" s="110"/>
      <c r="F148" s="110"/>
      <c r="G148" s="110"/>
      <c r="H148" s="110"/>
      <c r="I148" s="110"/>
      <c r="J148" s="110"/>
      <c r="K148" s="110"/>
      <c r="L148" s="110"/>
      <c r="M148" s="111"/>
      <c r="N148" s="111"/>
      <c r="O148" s="111"/>
      <c r="P148" s="111"/>
      <c r="Q148" s="110"/>
      <c r="R148" s="110"/>
    </row>
    <row r="149" spans="1:18" ht="12" customHeight="1">
      <c r="A149" s="110"/>
      <c r="B149" s="110"/>
      <c r="C149" s="110"/>
      <c r="D149" s="110"/>
      <c r="E149" s="110"/>
      <c r="F149" s="110"/>
      <c r="G149" s="110"/>
      <c r="H149" s="110"/>
      <c r="I149" s="110"/>
      <c r="J149" s="110"/>
      <c r="K149" s="110"/>
      <c r="L149" s="110"/>
      <c r="M149" s="111"/>
      <c r="N149" s="111"/>
      <c r="O149" s="111"/>
      <c r="P149" s="111"/>
      <c r="Q149" s="110"/>
      <c r="R149" s="110"/>
    </row>
    <row r="150" spans="1:18" ht="12" customHeight="1">
      <c r="A150" s="110"/>
      <c r="B150" s="110"/>
      <c r="C150" s="110"/>
      <c r="D150" s="110"/>
      <c r="E150" s="110"/>
      <c r="F150" s="110"/>
      <c r="G150" s="110"/>
      <c r="H150" s="110"/>
      <c r="I150" s="110"/>
      <c r="J150" s="110"/>
      <c r="K150" s="110"/>
      <c r="L150" s="110"/>
      <c r="M150" s="111"/>
      <c r="N150" s="111"/>
      <c r="O150" s="111"/>
      <c r="P150" s="111"/>
      <c r="Q150" s="110"/>
      <c r="R150" s="110"/>
    </row>
    <row r="151" spans="1:18" ht="12" customHeight="1">
      <c r="A151" s="110"/>
      <c r="B151" s="110"/>
      <c r="C151" s="110"/>
      <c r="D151" s="110"/>
      <c r="E151" s="110"/>
      <c r="F151" s="110"/>
      <c r="G151" s="110"/>
      <c r="H151" s="110"/>
      <c r="I151" s="110"/>
      <c r="J151" s="110"/>
      <c r="K151" s="110"/>
      <c r="L151" s="110"/>
      <c r="M151" s="111"/>
      <c r="N151" s="111"/>
      <c r="O151" s="111"/>
      <c r="P151" s="111"/>
      <c r="Q151" s="110"/>
      <c r="R151" s="110"/>
    </row>
    <row r="152" spans="1:18" ht="12" customHeight="1">
      <c r="A152" s="110"/>
      <c r="B152" s="110"/>
      <c r="C152" s="110"/>
      <c r="D152" s="110"/>
      <c r="E152" s="110"/>
      <c r="F152" s="110"/>
      <c r="G152" s="110"/>
      <c r="H152" s="110"/>
      <c r="I152" s="110"/>
      <c r="J152" s="110"/>
      <c r="K152" s="110"/>
      <c r="L152" s="110"/>
      <c r="M152" s="111"/>
      <c r="N152" s="111"/>
      <c r="O152" s="111"/>
      <c r="P152" s="111"/>
      <c r="Q152" s="110"/>
      <c r="R152" s="110"/>
    </row>
    <row r="153" spans="1:18" ht="12" customHeight="1">
      <c r="A153" s="110"/>
      <c r="B153" s="110"/>
      <c r="C153" s="110"/>
      <c r="D153" s="110"/>
      <c r="E153" s="110"/>
      <c r="F153" s="110"/>
      <c r="G153" s="110"/>
      <c r="H153" s="110"/>
      <c r="I153" s="110"/>
      <c r="J153" s="110"/>
      <c r="K153" s="110"/>
      <c r="L153" s="110"/>
      <c r="M153" s="111"/>
      <c r="N153" s="111"/>
      <c r="O153" s="111"/>
      <c r="P153" s="111"/>
      <c r="Q153" s="110"/>
      <c r="R153" s="110"/>
    </row>
    <row r="154" spans="1:18" ht="12" customHeight="1">
      <c r="A154" s="110"/>
      <c r="B154" s="110"/>
      <c r="C154" s="110"/>
      <c r="D154" s="110"/>
      <c r="E154" s="110"/>
      <c r="F154" s="110"/>
      <c r="G154" s="110"/>
      <c r="H154" s="110"/>
      <c r="I154" s="110"/>
      <c r="J154" s="110"/>
      <c r="K154" s="110"/>
      <c r="L154" s="110"/>
      <c r="M154" s="111"/>
      <c r="N154" s="111"/>
      <c r="O154" s="111"/>
      <c r="P154" s="111"/>
      <c r="Q154" s="110"/>
      <c r="R154" s="110"/>
    </row>
    <row r="155" spans="1:18" ht="12" customHeight="1">
      <c r="A155" s="110"/>
      <c r="B155" s="110"/>
      <c r="C155" s="110"/>
      <c r="D155" s="110"/>
      <c r="E155" s="110"/>
      <c r="F155" s="110"/>
      <c r="G155" s="110"/>
      <c r="H155" s="110"/>
      <c r="I155" s="110"/>
      <c r="J155" s="110"/>
      <c r="K155" s="110"/>
      <c r="L155" s="110"/>
      <c r="M155" s="111"/>
      <c r="N155" s="111"/>
      <c r="O155" s="111"/>
      <c r="P155" s="111"/>
      <c r="Q155" s="110"/>
      <c r="R155" s="110"/>
    </row>
    <row r="156" spans="1:18" ht="12" customHeight="1">
      <c r="A156" s="110"/>
      <c r="B156" s="110"/>
      <c r="C156" s="110"/>
      <c r="D156" s="110"/>
      <c r="E156" s="110"/>
      <c r="F156" s="110"/>
      <c r="G156" s="110"/>
      <c r="H156" s="110"/>
      <c r="I156" s="110"/>
      <c r="J156" s="110"/>
      <c r="K156" s="110"/>
      <c r="L156" s="110"/>
      <c r="M156" s="111"/>
      <c r="N156" s="111"/>
      <c r="O156" s="111"/>
      <c r="P156" s="111"/>
      <c r="Q156" s="110"/>
      <c r="R156" s="110"/>
    </row>
    <row r="157" spans="1:18" ht="12" customHeight="1">
      <c r="A157" s="110"/>
      <c r="B157" s="110"/>
      <c r="C157" s="110"/>
      <c r="D157" s="110"/>
      <c r="E157" s="110"/>
      <c r="F157" s="110"/>
      <c r="G157" s="110"/>
      <c r="H157" s="110"/>
      <c r="I157" s="110"/>
      <c r="J157" s="110"/>
      <c r="K157" s="110"/>
      <c r="L157" s="110"/>
      <c r="M157" s="111"/>
      <c r="N157" s="111"/>
      <c r="O157" s="111"/>
      <c r="P157" s="111"/>
      <c r="Q157" s="110"/>
      <c r="R157" s="110"/>
    </row>
    <row r="158" spans="1:18" ht="12" customHeight="1">
      <c r="A158" s="110"/>
      <c r="B158" s="110"/>
      <c r="C158" s="110"/>
      <c r="D158" s="110"/>
      <c r="E158" s="110"/>
      <c r="F158" s="110"/>
      <c r="G158" s="110"/>
      <c r="H158" s="110"/>
      <c r="I158" s="110"/>
      <c r="J158" s="110"/>
      <c r="K158" s="110"/>
      <c r="L158" s="110"/>
      <c r="M158" s="111"/>
      <c r="N158" s="111"/>
      <c r="O158" s="111"/>
      <c r="P158" s="111"/>
      <c r="Q158" s="110"/>
      <c r="R158" s="110"/>
    </row>
    <row r="159" spans="1:18" ht="12" customHeight="1">
      <c r="A159" s="110"/>
      <c r="B159" s="110"/>
      <c r="C159" s="110"/>
      <c r="D159" s="110"/>
      <c r="E159" s="110"/>
      <c r="F159" s="110"/>
      <c r="G159" s="110"/>
      <c r="H159" s="110"/>
      <c r="I159" s="110"/>
      <c r="J159" s="110"/>
      <c r="K159" s="110"/>
      <c r="L159" s="110"/>
      <c r="M159" s="111"/>
      <c r="N159" s="111"/>
      <c r="O159" s="111"/>
      <c r="P159" s="111"/>
      <c r="Q159" s="110"/>
      <c r="R159" s="110"/>
    </row>
    <row r="160" spans="1:18" ht="12" customHeight="1">
      <c r="A160" s="110"/>
      <c r="B160" s="110"/>
      <c r="C160" s="110"/>
      <c r="D160" s="110"/>
      <c r="E160" s="110"/>
      <c r="F160" s="110"/>
      <c r="G160" s="110"/>
      <c r="H160" s="110"/>
      <c r="I160" s="110"/>
      <c r="J160" s="110"/>
      <c r="K160" s="110"/>
      <c r="L160" s="110"/>
      <c r="M160" s="111"/>
      <c r="N160" s="111"/>
      <c r="O160" s="111"/>
      <c r="P160" s="111"/>
      <c r="Q160" s="110"/>
      <c r="R160" s="110"/>
    </row>
    <row r="161" spans="1:18" ht="12" customHeight="1">
      <c r="A161" s="110"/>
      <c r="B161" s="110"/>
      <c r="C161" s="110"/>
      <c r="D161" s="110"/>
      <c r="E161" s="110"/>
      <c r="F161" s="110"/>
      <c r="G161" s="110"/>
      <c r="H161" s="110"/>
      <c r="I161" s="110"/>
      <c r="J161" s="110"/>
      <c r="K161" s="110"/>
      <c r="L161" s="110"/>
      <c r="M161" s="111"/>
      <c r="N161" s="111"/>
      <c r="O161" s="111"/>
      <c r="P161" s="111"/>
      <c r="Q161" s="110"/>
      <c r="R161" s="110"/>
    </row>
    <row r="162" spans="1:18" ht="12" customHeight="1">
      <c r="A162" s="110"/>
      <c r="B162" s="110"/>
      <c r="C162" s="110"/>
      <c r="D162" s="110"/>
      <c r="E162" s="110"/>
      <c r="F162" s="110"/>
      <c r="G162" s="110"/>
      <c r="H162" s="110"/>
      <c r="I162" s="110"/>
      <c r="J162" s="110"/>
      <c r="K162" s="110"/>
      <c r="L162" s="110"/>
      <c r="M162" s="111"/>
      <c r="N162" s="111"/>
      <c r="O162" s="111"/>
      <c r="P162" s="111"/>
      <c r="Q162" s="110"/>
      <c r="R162" s="110"/>
    </row>
    <row r="163" spans="1:18" ht="12" customHeight="1">
      <c r="A163" s="110"/>
      <c r="B163" s="110"/>
      <c r="C163" s="110"/>
      <c r="D163" s="110"/>
      <c r="E163" s="110"/>
      <c r="F163" s="110"/>
      <c r="G163" s="110"/>
      <c r="H163" s="110"/>
      <c r="I163" s="110"/>
      <c r="J163" s="110"/>
      <c r="K163" s="110"/>
      <c r="L163" s="110"/>
      <c r="M163" s="111"/>
      <c r="N163" s="111"/>
      <c r="O163" s="111"/>
      <c r="P163" s="111"/>
      <c r="Q163" s="110"/>
      <c r="R163" s="110"/>
    </row>
  </sheetData>
  <sheetProtection algorithmName="SHA-512" hashValue="6aucruOjZQRT7oNTo1XS/jv1fkHFlT7cJeNWzVMBgR6dPEGBu6QU4pXoO1E1XwFzDRgrG1bk+s0tdVOKeEafpw==" saltValue="9KhR7Dn5Fz/02kUNzHNncQ==" spinCount="100000" sheet="1" selectLockedCells="1" selectUnlockedCells="1"/>
  <mergeCells count="67">
    <mergeCell ref="K51:L51"/>
    <mergeCell ref="K52:L52"/>
    <mergeCell ref="K53:L53"/>
    <mergeCell ref="B58:Q58"/>
    <mergeCell ref="M45:M46"/>
    <mergeCell ref="N45:N46"/>
    <mergeCell ref="O45:O46"/>
    <mergeCell ref="P45:P46"/>
    <mergeCell ref="K49:L49"/>
    <mergeCell ref="K50:L50"/>
    <mergeCell ref="N32:N33"/>
    <mergeCell ref="O32:O33"/>
    <mergeCell ref="P32:P33"/>
    <mergeCell ref="J38:J42"/>
    <mergeCell ref="K38:K42"/>
    <mergeCell ref="L38:L42"/>
    <mergeCell ref="M38:M39"/>
    <mergeCell ref="N38:N39"/>
    <mergeCell ref="O38:O39"/>
    <mergeCell ref="P38:P39"/>
    <mergeCell ref="F32:H32"/>
    <mergeCell ref="J32:J37"/>
    <mergeCell ref="K32:K37"/>
    <mergeCell ref="L32:L37"/>
    <mergeCell ref="M32:M33"/>
    <mergeCell ref="N25:N26"/>
    <mergeCell ref="O25:O26"/>
    <mergeCell ref="P25:P26"/>
    <mergeCell ref="F26:H26"/>
    <mergeCell ref="F30:H30"/>
    <mergeCell ref="F25:H25"/>
    <mergeCell ref="J25:J31"/>
    <mergeCell ref="K25:K31"/>
    <mergeCell ref="L25:L31"/>
    <mergeCell ref="M25:M26"/>
    <mergeCell ref="F31:H31"/>
    <mergeCell ref="N19:N20"/>
    <mergeCell ref="O19:O20"/>
    <mergeCell ref="P19:P20"/>
    <mergeCell ref="F20:H20"/>
    <mergeCell ref="F21:H21"/>
    <mergeCell ref="F19:H19"/>
    <mergeCell ref="J19:J24"/>
    <mergeCell ref="K19:K24"/>
    <mergeCell ref="L19:L24"/>
    <mergeCell ref="M19:M20"/>
    <mergeCell ref="G22:H22"/>
    <mergeCell ref="G23:H23"/>
    <mergeCell ref="M10:M11"/>
    <mergeCell ref="N10:N11"/>
    <mergeCell ref="O10:O11"/>
    <mergeCell ref="P10:P11"/>
    <mergeCell ref="F11:I11"/>
    <mergeCell ref="B10:B14"/>
    <mergeCell ref="F10:H10"/>
    <mergeCell ref="J10:J18"/>
    <mergeCell ref="K10:K18"/>
    <mergeCell ref="L10:L18"/>
    <mergeCell ref="M4:M8"/>
    <mergeCell ref="N4:N8"/>
    <mergeCell ref="O4:O8"/>
    <mergeCell ref="P4:P8"/>
    <mergeCell ref="F7:G7"/>
    <mergeCell ref="H7:I7"/>
    <mergeCell ref="F8:J8"/>
    <mergeCell ref="E4:J6"/>
    <mergeCell ref="K4:L7"/>
  </mergeCells>
  <pageMargins left="0.7" right="0.7" top="0.78749999999999998" bottom="0.78749999999999998" header="0.51180555555555551" footer="0.51180555555555551"/>
  <pageSetup paperSize="9" firstPageNumber="0"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R17"/>
  <sheetViews>
    <sheetView showGridLines="0" topLeftCell="A5" zoomScale="75" zoomScaleNormal="75" workbookViewId="0">
      <selection activeCell="B20" sqref="B20"/>
    </sheetView>
  </sheetViews>
  <sheetFormatPr baseColWidth="10" defaultColWidth="10.7109375" defaultRowHeight="12.75" customHeight="1"/>
  <cols>
    <col min="1" max="1" width="2.7109375" style="248" customWidth="1"/>
    <col min="2" max="2" width="22.28515625" style="248" customWidth="1"/>
    <col min="3" max="3" width="4" style="248" customWidth="1"/>
    <col min="4" max="4" width="3" style="248" customWidth="1"/>
    <col min="5" max="5" width="4" style="248" customWidth="1"/>
    <col min="6" max="6" width="16.28515625" style="248" customWidth="1"/>
    <col min="7" max="7" width="4" style="248" customWidth="1"/>
    <col min="8" max="8" width="3" style="248" customWidth="1"/>
    <col min="9" max="9" width="4" style="248" customWidth="1"/>
    <col min="10" max="10" width="17.7109375" style="248" customWidth="1"/>
    <col min="11" max="11" width="4" style="248" customWidth="1"/>
    <col min="12" max="12" width="3" style="248" customWidth="1"/>
    <col min="13" max="13" width="7.28515625" style="248" customWidth="1"/>
    <col min="14" max="14" width="21.28515625" style="248" customWidth="1"/>
    <col min="15" max="15" width="4" style="248" customWidth="1"/>
    <col min="16" max="16" width="3" style="248" customWidth="1"/>
    <col min="17" max="17" width="4" style="248" customWidth="1"/>
    <col min="18" max="18" width="21" style="248" customWidth="1"/>
    <col min="19" max="16384" width="10.7109375" style="248"/>
  </cols>
  <sheetData>
    <row r="1" spans="1:18" ht="12.75" customHeight="1">
      <c r="A1" s="9"/>
      <c r="B1" s="9"/>
      <c r="C1" s="9"/>
      <c r="D1" s="9"/>
      <c r="E1" s="9"/>
      <c r="F1" s="9"/>
      <c r="G1" s="9"/>
      <c r="H1" s="9"/>
      <c r="I1" s="9"/>
      <c r="J1" s="9"/>
      <c r="K1" s="9"/>
      <c r="L1" s="9"/>
      <c r="M1" s="9"/>
      <c r="N1" s="9"/>
      <c r="O1" s="9"/>
      <c r="P1" s="9"/>
      <c r="Q1" s="9"/>
      <c r="R1" s="9"/>
    </row>
    <row r="2" spans="1:18" ht="12.75" customHeight="1">
      <c r="A2" s="9"/>
      <c r="B2" s="16" t="str">
        <f>'12.lan'!D91&amp;" - "&amp;'0. Intro'!B3&amp;" "&amp;'0. Intro'!C3</f>
        <v>Gemeinwohl-Bilanz-Rechner - Version 5.02</v>
      </c>
      <c r="C2" s="249"/>
      <c r="D2" s="249"/>
      <c r="E2" s="249"/>
      <c r="F2" s="249"/>
      <c r="G2" s="250"/>
      <c r="H2" s="251"/>
      <c r="I2" s="610" t="str">
        <f>'12.lan'!D212</f>
        <v>Anmerkung: Dies ist kein Testat.</v>
      </c>
      <c r="J2" s="610"/>
      <c r="K2" s="610"/>
      <c r="L2" s="610"/>
      <c r="M2" s="610"/>
      <c r="N2" s="610"/>
      <c r="O2" s="610"/>
      <c r="P2" s="9"/>
      <c r="Q2" s="9"/>
      <c r="R2" s="9"/>
    </row>
    <row r="3" spans="1:18" ht="5.25" customHeight="1">
      <c r="A3" s="9"/>
      <c r="B3" s="611" t="str">
        <f>'12.lan'!D213</f>
        <v>GEMEINWOHL-MATRIX</v>
      </c>
      <c r="C3" s="611"/>
      <c r="D3" s="611"/>
      <c r="E3" s="611"/>
      <c r="F3" s="611"/>
      <c r="G3" s="611"/>
      <c r="H3" s="252"/>
      <c r="I3" s="252"/>
      <c r="J3" s="252"/>
      <c r="K3" s="9"/>
      <c r="L3" s="9"/>
      <c r="M3" s="253"/>
      <c r="N3" s="253"/>
      <c r="O3" s="253"/>
      <c r="P3" s="9"/>
      <c r="Q3" s="9"/>
      <c r="R3" s="9"/>
    </row>
    <row r="4" spans="1:18" ht="15" customHeight="1">
      <c r="A4" s="9"/>
      <c r="B4" s="611"/>
      <c r="C4" s="611"/>
      <c r="D4" s="611"/>
      <c r="E4" s="611"/>
      <c r="F4" s="611"/>
      <c r="G4" s="611"/>
      <c r="H4" s="252"/>
      <c r="I4" s="612" t="str">
        <f>'12.lan'!D92</f>
        <v>BILANZSUMME:</v>
      </c>
      <c r="J4" s="612"/>
      <c r="K4" s="613">
        <f>'3. Calc'!I4</f>
        <v>0</v>
      </c>
      <c r="L4" s="613"/>
      <c r="M4" s="614" t="str">
        <f>'12.lan'!D214&amp;" "&amp;'3. Calc'!$J$4&amp;'12.lan'!D215</f>
        <v xml:space="preserve"> von  1000 Punkten</v>
      </c>
      <c r="N4" s="614"/>
      <c r="O4" s="614"/>
      <c r="P4" s="9"/>
      <c r="Q4" s="9"/>
      <c r="R4" s="9"/>
    </row>
    <row r="5" spans="1:18" ht="12.75" customHeight="1">
      <c r="A5" s="9"/>
      <c r="B5" s="10" t="str">
        <f>'12.lan'!D82&amp;": "&amp;'1. General'!C6&amp;"; "&amp;'12.lan'!D83&amp;": "&amp;'1. General'!C12</f>
        <v xml:space="preserve">Unternehmen: ; Bilanz-Jahr: </v>
      </c>
      <c r="C5" s="33"/>
      <c r="D5" s="33"/>
      <c r="E5" s="33"/>
      <c r="F5" s="254"/>
      <c r="G5" s="250"/>
      <c r="H5" s="251"/>
      <c r="I5" s="612"/>
      <c r="J5" s="612"/>
      <c r="K5" s="613"/>
      <c r="L5" s="613"/>
      <c r="M5" s="614"/>
      <c r="N5" s="614"/>
      <c r="O5" s="614"/>
      <c r="P5" s="9"/>
      <c r="Q5" s="9"/>
      <c r="R5" s="9"/>
    </row>
    <row r="6" spans="1:18" ht="18" customHeight="1">
      <c r="A6" s="9"/>
      <c r="B6" s="9"/>
      <c r="C6" s="9"/>
      <c r="D6" s="9"/>
      <c r="E6" s="9"/>
      <c r="F6" s="9"/>
      <c r="G6" s="9"/>
      <c r="H6" s="9"/>
      <c r="I6" s="9"/>
      <c r="J6" s="9"/>
      <c r="K6" s="9"/>
      <c r="L6" s="9"/>
      <c r="M6" s="615"/>
      <c r="N6" s="615"/>
      <c r="O6" s="615"/>
      <c r="P6" s="9"/>
      <c r="Q6" s="9"/>
      <c r="R6" s="9"/>
    </row>
    <row r="7" spans="1:18" ht="36" customHeight="1">
      <c r="A7" s="9"/>
      <c r="B7" s="255" t="str">
        <f>'12.lan'!D206</f>
        <v>Werte ►
Berührungsgruppe ▼</v>
      </c>
      <c r="C7" s="616" t="str">
        <f>'12.lan'!D216</f>
        <v>Menschenwürde</v>
      </c>
      <c r="D7" s="616"/>
      <c r="E7" s="616"/>
      <c r="F7" s="616"/>
      <c r="G7" s="616" t="str">
        <f>'12.lan'!D217</f>
        <v>Solidarität &amp; Gerechtigkeit</v>
      </c>
      <c r="H7" s="616"/>
      <c r="I7" s="616"/>
      <c r="J7" s="616"/>
      <c r="K7" s="617" t="str">
        <f>'12.lan'!D218</f>
        <v>Ökologische Nachhaltigkeit</v>
      </c>
      <c r="L7" s="617"/>
      <c r="M7" s="617"/>
      <c r="N7" s="617"/>
      <c r="O7" s="616" t="str">
        <f>'12.lan'!D219</f>
        <v>Transparenz &amp; Mitentscheidung</v>
      </c>
      <c r="P7" s="616"/>
      <c r="Q7" s="616"/>
      <c r="R7" s="616"/>
    </row>
    <row r="8" spans="1:18" ht="53.25" customHeight="1">
      <c r="A8" s="9"/>
      <c r="B8" s="618" t="str">
        <f>"A: "&amp;'12.lan'!D108</f>
        <v>A: Lieferant*innen</v>
      </c>
      <c r="C8" s="619" t="str">
        <f>'12.lan'!B109</f>
        <v>A1: Menschenwürde in der Zulieferkette</v>
      </c>
      <c r="D8" s="619"/>
      <c r="E8" s="619"/>
      <c r="F8" s="619"/>
      <c r="G8" s="619" t="str">
        <f>'12.lan'!B112</f>
        <v>A2: Solidarität und Gerechtigkeit in der Zulieferkette</v>
      </c>
      <c r="H8" s="619"/>
      <c r="I8" s="619"/>
      <c r="J8" s="619"/>
      <c r="K8" s="619" t="str">
        <f>'12.lan'!B116</f>
        <v>A3: Ökologische Nachhaltigkeit in der Zulieferkette</v>
      </c>
      <c r="L8" s="619"/>
      <c r="M8" s="619"/>
      <c r="N8" s="619"/>
      <c r="O8" s="619" t="str">
        <f>'12.lan'!B119</f>
        <v>A4: Transparenz und Mitentscheidung in der Zulieferkette</v>
      </c>
      <c r="P8" s="619"/>
      <c r="Q8" s="619"/>
      <c r="R8" s="619"/>
    </row>
    <row r="9" spans="1:18" ht="21" customHeight="1">
      <c r="A9" s="9"/>
      <c r="B9" s="618"/>
      <c r="C9" s="256">
        <f>'3. Calc'!I10</f>
        <v>0</v>
      </c>
      <c r="D9" s="257" t="str">
        <f>'12.lan'!$D$214</f>
        <v xml:space="preserve"> von </v>
      </c>
      <c r="E9" s="258">
        <f>'3. Calc'!J10</f>
        <v>51.282051282051277</v>
      </c>
      <c r="F9" s="259">
        <f>'3. Calc'!H10</f>
        <v>0</v>
      </c>
      <c r="G9" s="256">
        <f>'3. Calc'!I13</f>
        <v>0</v>
      </c>
      <c r="H9" s="257" t="str">
        <f>'12.lan'!$D$214</f>
        <v xml:space="preserve"> von </v>
      </c>
      <c r="I9" s="258">
        <f>'3. Calc'!J13</f>
        <v>51.282051282051277</v>
      </c>
      <c r="J9" s="259">
        <f>'3. Calc'!H13</f>
        <v>0</v>
      </c>
      <c r="K9" s="256">
        <f>'3. Calc'!I16</f>
        <v>0</v>
      </c>
      <c r="L9" s="257" t="str">
        <f>'12.lan'!$D$214</f>
        <v xml:space="preserve"> von </v>
      </c>
      <c r="M9" s="258">
        <f>'3. Calc'!J16</f>
        <v>51.282051282051277</v>
      </c>
      <c r="N9" s="259">
        <f>'3. Calc'!H16</f>
        <v>0</v>
      </c>
      <c r="O9" s="256">
        <f>'3. Calc'!I19</f>
        <v>0</v>
      </c>
      <c r="P9" s="257" t="str">
        <f>'12.lan'!$D$214</f>
        <v xml:space="preserve"> von </v>
      </c>
      <c r="Q9" s="258">
        <f>'3. Calc'!J19</f>
        <v>25.641025641025639</v>
      </c>
      <c r="R9" s="259">
        <f>'3. Calc'!H19</f>
        <v>0</v>
      </c>
    </row>
    <row r="10" spans="1:18" ht="45" customHeight="1">
      <c r="A10" s="9"/>
      <c r="B10" s="620" t="str">
        <f>"B: "&amp;'12.lan'!D122</f>
        <v>B: Eigentümer*innen und Finanzpartner*innen</v>
      </c>
      <c r="C10" s="619" t="str">
        <f>'12.lan'!B123</f>
        <v>B1: Ethische Haltung im Umgang mit Geldmitteln</v>
      </c>
      <c r="D10" s="619"/>
      <c r="E10" s="619"/>
      <c r="F10" s="619"/>
      <c r="G10" s="619" t="str">
        <f>'12.lan'!B127</f>
        <v>B2: Soziale Haltung im Umgang mit Geldmitteln</v>
      </c>
      <c r="H10" s="619"/>
      <c r="I10" s="619"/>
      <c r="J10" s="619"/>
      <c r="K10" s="619" t="str">
        <f>'12.lan'!B130</f>
        <v>B3: Sozial-ökologische Investitionen und Mittelverwendung</v>
      </c>
      <c r="L10" s="619"/>
      <c r="M10" s="619"/>
      <c r="N10" s="619"/>
      <c r="O10" s="619" t="str">
        <f>'12.lan'!B134&amp;IF('9. Weighting'!I28=1,'12.lan'!D211,"")</f>
        <v>B4: Eigentum und Mitentscheidung</v>
      </c>
      <c r="P10" s="619"/>
      <c r="Q10" s="619"/>
      <c r="R10" s="619"/>
    </row>
    <row r="11" spans="1:18" ht="28.5" customHeight="1">
      <c r="A11" s="9"/>
      <c r="B11" s="620"/>
      <c r="C11" s="256">
        <f>'3. Calc'!I22</f>
        <v>0</v>
      </c>
      <c r="D11" s="257" t="str">
        <f>'12.lan'!$D$214</f>
        <v xml:space="preserve"> von </v>
      </c>
      <c r="E11" s="258">
        <f>'3. Calc'!J22</f>
        <v>51.282051282051277</v>
      </c>
      <c r="F11" s="259">
        <f>'3. Calc'!H22</f>
        <v>0</v>
      </c>
      <c r="G11" s="256">
        <f>'3. Calc'!I24</f>
        <v>0</v>
      </c>
      <c r="H11" s="257" t="str">
        <f>'12.lan'!$D$214</f>
        <v xml:space="preserve"> von </v>
      </c>
      <c r="I11" s="258">
        <f>'3. Calc'!J24</f>
        <v>51.282051282051277</v>
      </c>
      <c r="J11" s="259">
        <f>'3. Calc'!H24</f>
        <v>0</v>
      </c>
      <c r="K11" s="256">
        <f>'3. Calc'!I27</f>
        <v>0</v>
      </c>
      <c r="L11" s="257" t="str">
        <f>'12.lan'!$D$214</f>
        <v xml:space="preserve"> von </v>
      </c>
      <c r="M11" s="258">
        <f>'3. Calc'!J27</f>
        <v>51.282051282051277</v>
      </c>
      <c r="N11" s="259">
        <f>'3. Calc'!H27</f>
        <v>0</v>
      </c>
      <c r="O11" s="256">
        <f>'3. Calc'!I30</f>
        <v>0</v>
      </c>
      <c r="P11" s="257" t="str">
        <f>'12.lan'!$D$214</f>
        <v xml:space="preserve"> von </v>
      </c>
      <c r="Q11" s="258">
        <f>'3. Calc'!J30</f>
        <v>51.282051282051277</v>
      </c>
      <c r="R11" s="259">
        <f>'3. Calc'!H30</f>
        <v>0</v>
      </c>
    </row>
    <row r="12" spans="1:18" ht="50.25" customHeight="1">
      <c r="A12" s="9"/>
      <c r="B12" s="621" t="str">
        <f>"C: "&amp;'12.lan'!D137</f>
        <v>C: Mitarbeitende</v>
      </c>
      <c r="C12" s="619" t="str">
        <f>'12.lan'!B138</f>
        <v>C1: Menschenwürde am Arbeitsplatz</v>
      </c>
      <c r="D12" s="619"/>
      <c r="E12" s="619"/>
      <c r="F12" s="619"/>
      <c r="G12" s="619" t="str">
        <f>'12.lan'!B143</f>
        <v>C2: Ausgestaltung der Arbeitsverträge</v>
      </c>
      <c r="H12" s="619"/>
      <c r="I12" s="619"/>
      <c r="J12" s="619"/>
      <c r="K12" s="619" t="str">
        <f>'12.lan'!B148</f>
        <v>C3: Förderung des ökologischen Verhaltens der Mitarbeitenden</v>
      </c>
      <c r="L12" s="619"/>
      <c r="M12" s="619"/>
      <c r="N12" s="619"/>
      <c r="O12" s="619" t="str">
        <f>'12.lan'!B153</f>
        <v>C4: Innerbetriebliche Mitentscheidung und Transparenz</v>
      </c>
      <c r="P12" s="619"/>
      <c r="Q12" s="619"/>
      <c r="R12" s="619"/>
    </row>
    <row r="13" spans="1:18" ht="16.5" customHeight="1">
      <c r="A13" s="9"/>
      <c r="B13" s="621"/>
      <c r="C13" s="256">
        <f>'3. Calc'!I34</f>
        <v>0</v>
      </c>
      <c r="D13" s="257" t="str">
        <f>'12.lan'!$D$214</f>
        <v xml:space="preserve"> von </v>
      </c>
      <c r="E13" s="258">
        <f>'3. Calc'!J34</f>
        <v>51.282051282051277</v>
      </c>
      <c r="F13" s="259">
        <f>'3. Calc'!H34</f>
        <v>0</v>
      </c>
      <c r="G13" s="256">
        <f>'3. Calc'!I37</f>
        <v>0</v>
      </c>
      <c r="H13" s="257" t="str">
        <f>'12.lan'!$D$214</f>
        <v xml:space="preserve"> von </v>
      </c>
      <c r="I13" s="258">
        <f>'3. Calc'!J37</f>
        <v>51.282051282051277</v>
      </c>
      <c r="J13" s="259">
        <f>'3. Calc'!H37</f>
        <v>0</v>
      </c>
      <c r="K13" s="256">
        <f>'3. Calc'!I40</f>
        <v>0</v>
      </c>
      <c r="L13" s="257" t="str">
        <f>'12.lan'!$D$214</f>
        <v xml:space="preserve"> von </v>
      </c>
      <c r="M13" s="258">
        <f>'3. Calc'!J40</f>
        <v>51.282051282051277</v>
      </c>
      <c r="N13" s="259">
        <f>'3. Calc'!H40</f>
        <v>0</v>
      </c>
      <c r="O13" s="256">
        <f>'3. Calc'!I43</f>
        <v>0</v>
      </c>
      <c r="P13" s="257" t="str">
        <f>'12.lan'!$D$214</f>
        <v xml:space="preserve"> von </v>
      </c>
      <c r="Q13" s="258">
        <f>'3. Calc'!J43</f>
        <v>51.282051282051277</v>
      </c>
      <c r="R13" s="259">
        <f>'3. Calc'!H43</f>
        <v>0</v>
      </c>
    </row>
    <row r="14" spans="1:18" ht="50.25" customHeight="1">
      <c r="A14" s="9"/>
      <c r="B14" s="621" t="str">
        <f>"D: "&amp;'12.lan'!D158</f>
        <v>D: Kund*nnen und Mitunternehmen</v>
      </c>
      <c r="C14" s="619" t="str">
        <f>'12.lan'!B159</f>
        <v>D1: Ethische Kund*innenbeziehungen</v>
      </c>
      <c r="D14" s="619"/>
      <c r="E14" s="619"/>
      <c r="F14" s="619"/>
      <c r="G14" s="619" t="str">
        <f>'12.lan'!B163</f>
        <v>D2: Kooperation und Solidarität mit Mitunternehmen</v>
      </c>
      <c r="H14" s="619"/>
      <c r="I14" s="619"/>
      <c r="J14" s="619"/>
      <c r="K14" s="619" t="str">
        <f>'12.lan'!B167</f>
        <v>D3: Ökologische Auswirkung durch Nutzung und Entsorgung von Produkten und Dienstleistungen</v>
      </c>
      <c r="L14" s="619"/>
      <c r="M14" s="619"/>
      <c r="N14" s="619"/>
      <c r="O14" s="619" t="str">
        <f>'12.lan'!B171</f>
        <v>D4: Kund*innen-Mitwirkung und Produkttransparenz</v>
      </c>
      <c r="P14" s="619"/>
      <c r="Q14" s="619"/>
      <c r="R14" s="619"/>
    </row>
    <row r="15" spans="1:18" ht="16.5" customHeight="1">
      <c r="A15" s="9"/>
      <c r="B15" s="621"/>
      <c r="C15" s="256">
        <f>'3. Calc'!I47</f>
        <v>0</v>
      </c>
      <c r="D15" s="257" t="str">
        <f>'12.lan'!$D$214</f>
        <v xml:space="preserve"> von </v>
      </c>
      <c r="E15" s="258">
        <f>'3. Calc'!J47</f>
        <v>51.282051282051277</v>
      </c>
      <c r="F15" s="259">
        <f>'3. Calc'!H47</f>
        <v>0</v>
      </c>
      <c r="G15" s="256">
        <f>'3. Calc'!I50</f>
        <v>0</v>
      </c>
      <c r="H15" s="257" t="str">
        <f>'12.lan'!$D$214</f>
        <v xml:space="preserve"> von </v>
      </c>
      <c r="I15" s="258">
        <f>'3. Calc'!J50</f>
        <v>51.282051282051277</v>
      </c>
      <c r="J15" s="259">
        <f>'3. Calc'!H50</f>
        <v>0</v>
      </c>
      <c r="K15" s="256">
        <f>'3. Calc'!I53</f>
        <v>0</v>
      </c>
      <c r="L15" s="257" t="str">
        <f>'12.lan'!$D$214</f>
        <v xml:space="preserve"> von </v>
      </c>
      <c r="M15" s="258">
        <f>'3. Calc'!J53</f>
        <v>51.282051282051277</v>
      </c>
      <c r="N15" s="259">
        <f>'3. Calc'!H53</f>
        <v>0</v>
      </c>
      <c r="O15" s="256">
        <f>'3. Calc'!I56</f>
        <v>0</v>
      </c>
      <c r="P15" s="257" t="str">
        <f>'12.lan'!$D$214</f>
        <v xml:space="preserve"> von </v>
      </c>
      <c r="Q15" s="258">
        <f>'3. Calc'!J56</f>
        <v>51.282051282051277</v>
      </c>
      <c r="R15" s="259">
        <f>'3. Calc'!H56</f>
        <v>0</v>
      </c>
    </row>
    <row r="16" spans="1:18" ht="50.25" customHeight="1">
      <c r="A16" s="9"/>
      <c r="B16" s="621" t="str">
        <f>"E: "&amp;'12.lan'!D175</f>
        <v>E: Gesellschaftliches Umfeld</v>
      </c>
      <c r="C16" s="619" t="str">
        <f>'12.lan'!B176</f>
        <v>E1: Sinn und gesellschaftliche Wirkung der Produkte und Dienstleistungen</v>
      </c>
      <c r="D16" s="619"/>
      <c r="E16" s="619"/>
      <c r="F16" s="619"/>
      <c r="G16" s="619" t="str">
        <f>'12.lan'!B180</f>
        <v>E2: Beitrag zum Gemeinwesen</v>
      </c>
      <c r="H16" s="619"/>
      <c r="I16" s="619"/>
      <c r="J16" s="619"/>
      <c r="K16" s="619" t="str">
        <f>'12.lan'!B185</f>
        <v>E3: Reduktion ökologischer Auswirkungen</v>
      </c>
      <c r="L16" s="619"/>
      <c r="M16" s="619"/>
      <c r="N16" s="619"/>
      <c r="O16" s="619" t="str">
        <f>'12.lan'!B189</f>
        <v>E4: Transparenz und gesellschaftliche Mitentscheidung</v>
      </c>
      <c r="P16" s="619"/>
      <c r="Q16" s="619"/>
      <c r="R16" s="619"/>
    </row>
    <row r="17" spans="1:18" ht="16.5" customHeight="1">
      <c r="A17" s="9"/>
      <c r="B17" s="621"/>
      <c r="C17" s="256">
        <f>'3. Calc'!I60</f>
        <v>0</v>
      </c>
      <c r="D17" s="257" t="str">
        <f>'12.lan'!$D$214</f>
        <v xml:space="preserve"> von </v>
      </c>
      <c r="E17" s="258">
        <f>'3. Calc'!J60</f>
        <v>51.282051282051277</v>
      </c>
      <c r="F17" s="259">
        <f>'3. Calc'!H60</f>
        <v>0</v>
      </c>
      <c r="G17" s="256">
        <f>'3. Calc'!I63</f>
        <v>0</v>
      </c>
      <c r="H17" s="257" t="str">
        <f>'12.lan'!$D$214</f>
        <v xml:space="preserve"> von </v>
      </c>
      <c r="I17" s="258">
        <f>'3. Calc'!J63</f>
        <v>51.282051282051277</v>
      </c>
      <c r="J17" s="259">
        <f>'3. Calc'!H63</f>
        <v>0</v>
      </c>
      <c r="K17" s="256">
        <f>'3. Calc'!I67</f>
        <v>0</v>
      </c>
      <c r="L17" s="257" t="str">
        <f>'12.lan'!$D$214</f>
        <v xml:space="preserve"> von </v>
      </c>
      <c r="M17" s="258">
        <f>'3. Calc'!J67</f>
        <v>51.282051282051277</v>
      </c>
      <c r="N17" s="259">
        <f>'3. Calc'!H67</f>
        <v>0</v>
      </c>
      <c r="O17" s="256">
        <f>'3. Calc'!I70</f>
        <v>0</v>
      </c>
      <c r="P17" s="257" t="str">
        <f>'12.lan'!$D$214</f>
        <v xml:space="preserve"> von </v>
      </c>
      <c r="Q17" s="258">
        <f>'3. Calc'!J70</f>
        <v>51.282051282051277</v>
      </c>
      <c r="R17" s="259">
        <f>'3. Calc'!H70</f>
        <v>0</v>
      </c>
    </row>
  </sheetData>
  <sheetProtection algorithmName="SHA-512" hashValue="TWJBzEVBPXuSn5BEQEhOSLSgNIhE+cgt8rBWqLztwdXmn7DRzTpa0l5UNj3scQwWzLOHmBCHcXDAHPqge4NkJQ==" saltValue="2mNhpX27dNqNHGKjnN9UQA==" spinCount="100000" sheet="1" objects="1" scenarios="1"/>
  <mergeCells count="35">
    <mergeCell ref="B16:B17"/>
    <mergeCell ref="C16:F16"/>
    <mergeCell ref="G16:J16"/>
    <mergeCell ref="K16:N16"/>
    <mergeCell ref="O16:R16"/>
    <mergeCell ref="B14:B15"/>
    <mergeCell ref="C14:F14"/>
    <mergeCell ref="G14:J14"/>
    <mergeCell ref="K14:N14"/>
    <mergeCell ref="O14:R14"/>
    <mergeCell ref="B12:B13"/>
    <mergeCell ref="C12:F12"/>
    <mergeCell ref="G12:J12"/>
    <mergeCell ref="K12:N12"/>
    <mergeCell ref="O12:R12"/>
    <mergeCell ref="B10:B11"/>
    <mergeCell ref="C10:F10"/>
    <mergeCell ref="G10:J10"/>
    <mergeCell ref="K10:N10"/>
    <mergeCell ref="O10:R10"/>
    <mergeCell ref="B8:B9"/>
    <mergeCell ref="C8:F8"/>
    <mergeCell ref="G8:J8"/>
    <mergeCell ref="K8:N8"/>
    <mergeCell ref="O8:R8"/>
    <mergeCell ref="M6:O6"/>
    <mergeCell ref="C7:F7"/>
    <mergeCell ref="G7:J7"/>
    <mergeCell ref="K7:N7"/>
    <mergeCell ref="O7:R7"/>
    <mergeCell ref="I2:O2"/>
    <mergeCell ref="B3:G4"/>
    <mergeCell ref="I4:J5"/>
    <mergeCell ref="K4:L5"/>
    <mergeCell ref="M4:O5"/>
  </mergeCells>
  <conditionalFormatting sqref="F9 J9 N9 R9 R11 N11 J11 F11 F13 J13 N13 R13 R15 N15 J15 F15 F17 J17 N17 R17">
    <cfRule type="cellIs" dxfId="6" priority="1" operator="lessThan">
      <formula>0</formula>
    </cfRule>
  </conditionalFormatting>
  <pageMargins left="0.35416666666666669" right="0.59027777777777779" top="0.35416666666666669" bottom="0.59027777777777779" header="0.51180555555555551" footer="0.51180555555555551"/>
  <pageSetup paperSize="9" firstPageNumber="0" orientation="landscape"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G23"/>
  <sheetViews>
    <sheetView showGridLines="0" topLeftCell="A10" zoomScale="75" zoomScaleNormal="75" workbookViewId="0">
      <selection activeCell="C18" sqref="C18"/>
    </sheetView>
  </sheetViews>
  <sheetFormatPr baseColWidth="10" defaultColWidth="10.7109375" defaultRowHeight="14.1" customHeight="1"/>
  <cols>
    <col min="1" max="1" width="2.7109375" style="260" customWidth="1"/>
    <col min="2" max="2" width="49.85546875" style="260" customWidth="1"/>
    <col min="3" max="3" width="7.28515625" style="260" customWidth="1"/>
    <col min="4" max="4" width="5.28515625" style="261" customWidth="1"/>
    <col min="5" max="5" width="6.7109375" style="260" customWidth="1"/>
    <col min="6" max="6" width="15" style="262" customWidth="1"/>
    <col min="7" max="7" width="10.7109375" style="263" customWidth="1"/>
    <col min="8" max="16384" width="10.7109375" style="260"/>
  </cols>
  <sheetData>
    <row r="1" spans="1:6" ht="14.1" customHeight="1">
      <c r="A1" s="264"/>
      <c r="B1" s="265"/>
      <c r="C1" s="266"/>
      <c r="D1" s="265"/>
      <c r="E1" s="267"/>
      <c r="F1" s="266"/>
    </row>
    <row r="2" spans="1:6" ht="14.1" customHeight="1">
      <c r="A2" s="264"/>
      <c r="B2" s="622" t="str">
        <f>'12.lan'!D91&amp;" - "&amp;'0. Intro'!B3&amp;" "&amp;'0. Intro'!C3</f>
        <v>Gemeinwohl-Bilanz-Rechner - Version 5.02</v>
      </c>
      <c r="C2" s="622"/>
      <c r="D2" s="622"/>
      <c r="E2" s="622"/>
      <c r="F2" s="622"/>
    </row>
    <row r="3" spans="1:6" ht="7.5" customHeight="1">
      <c r="A3" s="264"/>
      <c r="B3" s="623" t="str">
        <f>'12.lan'!D241&amp;'1. General'!C6</f>
        <v xml:space="preserve">Werte-Stern für </v>
      </c>
      <c r="C3" s="623"/>
      <c r="D3" s="623"/>
      <c r="E3" s="623"/>
      <c r="F3" s="623"/>
    </row>
    <row r="4" spans="1:6" ht="15" customHeight="1">
      <c r="A4" s="264"/>
      <c r="B4" s="623"/>
      <c r="C4" s="623"/>
      <c r="D4" s="623"/>
      <c r="E4" s="623"/>
      <c r="F4" s="623"/>
    </row>
    <row r="5" spans="1:6" ht="30" customHeight="1">
      <c r="A5" s="264"/>
      <c r="B5" s="268"/>
      <c r="C5" s="266"/>
      <c r="D5" s="265"/>
      <c r="E5" s="267"/>
      <c r="F5" s="266"/>
    </row>
    <row r="6" spans="1:6" ht="14.1" customHeight="1">
      <c r="A6" s="264"/>
      <c r="B6" s="268"/>
      <c r="C6" s="266"/>
      <c r="D6" s="265"/>
      <c r="E6" s="267"/>
      <c r="F6" s="266"/>
    </row>
    <row r="7" spans="1:6" ht="14.1" customHeight="1">
      <c r="A7" s="264"/>
      <c r="B7" s="268"/>
      <c r="C7" s="269"/>
      <c r="D7" s="269"/>
      <c r="E7" s="268"/>
      <c r="F7" s="264"/>
    </row>
    <row r="8" spans="1:6" ht="15" customHeight="1">
      <c r="A8" s="264"/>
      <c r="B8" s="266"/>
      <c r="C8" s="266"/>
      <c r="D8" s="265"/>
      <c r="E8" s="267"/>
      <c r="F8" s="266"/>
    </row>
    <row r="9" spans="1:6" ht="30" customHeight="1">
      <c r="A9" s="264"/>
      <c r="B9" s="270"/>
      <c r="C9" s="271"/>
      <c r="D9" s="272"/>
      <c r="E9" s="271"/>
      <c r="F9" s="273"/>
    </row>
    <row r="10" spans="1:6" ht="30" customHeight="1">
      <c r="A10" s="264"/>
      <c r="B10" s="270"/>
      <c r="C10" s="271"/>
      <c r="D10" s="272"/>
      <c r="E10" s="271"/>
      <c r="F10" s="273"/>
    </row>
    <row r="11" spans="1:6" ht="30" customHeight="1">
      <c r="A11" s="264"/>
      <c r="B11" s="270"/>
      <c r="C11" s="271"/>
      <c r="D11" s="272"/>
      <c r="E11" s="271"/>
      <c r="F11" s="273"/>
    </row>
    <row r="12" spans="1:6" ht="30" customHeight="1">
      <c r="A12" s="264"/>
      <c r="B12" s="270"/>
      <c r="C12" s="271"/>
      <c r="D12" s="272"/>
      <c r="E12" s="271"/>
      <c r="F12" s="273"/>
    </row>
    <row r="13" spans="1:6" ht="30" customHeight="1">
      <c r="A13" s="264"/>
      <c r="B13" s="270"/>
      <c r="C13" s="271"/>
      <c r="D13" s="272"/>
      <c r="E13" s="271"/>
      <c r="F13" s="273"/>
    </row>
    <row r="14" spans="1:6" ht="14.1" customHeight="1">
      <c r="A14" s="264"/>
      <c r="B14" s="264"/>
      <c r="C14" s="264"/>
      <c r="D14" s="265"/>
      <c r="E14" s="264"/>
      <c r="F14" s="266"/>
    </row>
    <row r="15" spans="1:6" ht="15" customHeight="1">
      <c r="A15" s="264"/>
      <c r="B15" s="624"/>
      <c r="C15" s="624"/>
      <c r="D15" s="624"/>
      <c r="E15" s="624"/>
      <c r="F15" s="624"/>
    </row>
    <row r="16" spans="1:6" ht="93.75" customHeight="1">
      <c r="A16" s="264"/>
      <c r="B16" s="625"/>
      <c r="C16" s="625"/>
      <c r="D16" s="625"/>
      <c r="E16" s="625"/>
      <c r="F16" s="625"/>
    </row>
    <row r="17" spans="1:7" ht="30" customHeight="1">
      <c r="A17" s="264"/>
      <c r="B17" s="626" t="str">
        <f>'12.lan'!D221</f>
        <v>BILANZ-ÜBERSICHT</v>
      </c>
      <c r="C17" s="626"/>
      <c r="D17" s="626"/>
      <c r="E17" s="626"/>
      <c r="F17" s="626"/>
    </row>
    <row r="18" spans="1:7" ht="26.25" customHeight="1">
      <c r="A18" s="264"/>
      <c r="B18" s="274" t="str">
        <f>'12.lan'!D216</f>
        <v>Menschenwürde</v>
      </c>
      <c r="C18" s="275">
        <f>'4. ECG-Matrix'!C9+'4. ECG-Matrix'!C11+'4. ECG-Matrix'!C13+'4. ECG-Matrix'!C15+'4. ECG-Matrix'!C17</f>
        <v>0</v>
      </c>
      <c r="D18" s="276" t="str">
        <f>'12.lan'!$D$214</f>
        <v xml:space="preserve"> von </v>
      </c>
      <c r="E18" s="277">
        <f>'4. ECG-Matrix'!E9+'4. ECG-Matrix'!E11+'4. ECG-Matrix'!E13+'4. ECG-Matrix'!E15+'4. ECG-Matrix'!E17</f>
        <v>256.41025641025641</v>
      </c>
      <c r="F18" s="278">
        <f>C18/E18</f>
        <v>0</v>
      </c>
      <c r="G18" s="76">
        <f>IF(F18&lt;0,0,F18)</f>
        <v>0</v>
      </c>
    </row>
    <row r="19" spans="1:7" ht="26.25" customHeight="1">
      <c r="A19" s="264"/>
      <c r="B19" s="274" t="str">
        <f>'12.lan'!D217</f>
        <v>Solidarität &amp; Gerechtigkeit</v>
      </c>
      <c r="C19" s="275">
        <f>'4. ECG-Matrix'!G9+'4. ECG-Matrix'!G11+'4. ECG-Matrix'!G13+'4. ECG-Matrix'!G15+'4. ECG-Matrix'!G17</f>
        <v>0</v>
      </c>
      <c r="D19" s="276" t="str">
        <f>'12.lan'!$D$214</f>
        <v xml:space="preserve"> von </v>
      </c>
      <c r="E19" s="277">
        <f>'4. ECG-Matrix'!I9+'4. ECG-Matrix'!I11+'4. ECG-Matrix'!I13+'4. ECG-Matrix'!I15+'4. ECG-Matrix'!I17</f>
        <v>256.41025641025641</v>
      </c>
      <c r="F19" s="278">
        <f>C19/E19</f>
        <v>0</v>
      </c>
      <c r="G19" s="76">
        <f>IF(F19&lt;0,0,F19)</f>
        <v>0</v>
      </c>
    </row>
    <row r="20" spans="1:7" ht="26.25" customHeight="1">
      <c r="A20" s="264"/>
      <c r="B20" s="274" t="str">
        <f>'12.lan'!D218</f>
        <v>Ökologische Nachhaltigkeit</v>
      </c>
      <c r="C20" s="275">
        <f>'4. ECG-Matrix'!K9+'4. ECG-Matrix'!K11+'4. ECG-Matrix'!K13+'4. ECG-Matrix'!K15+'4. ECG-Matrix'!K17</f>
        <v>0</v>
      </c>
      <c r="D20" s="276" t="str">
        <f>'12.lan'!$D$214</f>
        <v xml:space="preserve"> von </v>
      </c>
      <c r="E20" s="277">
        <f>'4. ECG-Matrix'!M9+'4. ECG-Matrix'!M11+'4. ECG-Matrix'!M13+'4. ECG-Matrix'!M15+'4. ECG-Matrix'!M17</f>
        <v>256.41025641025641</v>
      </c>
      <c r="F20" s="278">
        <f>C20/E20</f>
        <v>0</v>
      </c>
      <c r="G20" s="76">
        <f>IF(F20&lt;0,0,F20)</f>
        <v>0</v>
      </c>
    </row>
    <row r="21" spans="1:7" ht="26.25" customHeight="1">
      <c r="A21" s="264"/>
      <c r="B21" s="274" t="str">
        <f>'12.lan'!D219</f>
        <v>Transparenz &amp; Mitentscheidung</v>
      </c>
      <c r="C21" s="275">
        <f>'4. ECG-Matrix'!O9+'4. ECG-Matrix'!O11+'4. ECG-Matrix'!O13+'4. ECG-Matrix'!O15+'4. ECG-Matrix'!O17</f>
        <v>0</v>
      </c>
      <c r="D21" s="276" t="str">
        <f>'12.lan'!$D$214</f>
        <v xml:space="preserve"> von </v>
      </c>
      <c r="E21" s="277">
        <f>'4. ECG-Matrix'!Q9+'4. ECG-Matrix'!Q11+'4. ECG-Matrix'!Q13+'4. ECG-Matrix'!Q15+'4. ECG-Matrix'!Q17</f>
        <v>230.76923076923075</v>
      </c>
      <c r="F21" s="278">
        <f>C21/E21</f>
        <v>0</v>
      </c>
      <c r="G21" s="76">
        <f>IF(F21&lt;0,0,F21)</f>
        <v>0</v>
      </c>
    </row>
    <row r="22" spans="1:7" ht="30" customHeight="1">
      <c r="A22" s="264"/>
      <c r="B22" s="279" t="str">
        <f>'12.lan'!D228</f>
        <v>SUMME</v>
      </c>
      <c r="C22" s="280">
        <f>'3. Calc'!I4</f>
        <v>0</v>
      </c>
      <c r="D22" s="281" t="str">
        <f>'12.lan'!$D$214</f>
        <v xml:space="preserve"> von </v>
      </c>
      <c r="E22" s="282">
        <f>'3. Calc'!J4</f>
        <v>1000</v>
      </c>
      <c r="F22" s="283">
        <f>C22/E22</f>
        <v>0</v>
      </c>
    </row>
    <row r="23" spans="1:7" ht="14.1" customHeight="1">
      <c r="A23" s="264"/>
      <c r="B23" s="264"/>
      <c r="C23" s="264"/>
      <c r="D23" s="265"/>
      <c r="E23" s="264"/>
      <c r="F23" s="266"/>
    </row>
  </sheetData>
  <sheetProtection algorithmName="SHA-512" hashValue="yp9gboveWyhI9UQUc+PpgTpqelwkWX25yAlsMfvKBQkct1g12zWWNrwCEkRvvz46gemUNMvJpeVtbULhi698Fw==" saltValue="UMpGpnO5qxkT39R5BFF+zQ==" spinCount="100000" sheet="1" objects="1" scenarios="1" selectLockedCells="1" selectUnlockedCells="1"/>
  <mergeCells count="5">
    <mergeCell ref="B2:F2"/>
    <mergeCell ref="B3:F4"/>
    <mergeCell ref="B15:F15"/>
    <mergeCell ref="B16:F16"/>
    <mergeCell ref="B17:F17"/>
  </mergeCells>
  <conditionalFormatting sqref="F18:F21">
    <cfRule type="cellIs" dxfId="5" priority="2" operator="lessThan">
      <formula>0</formula>
    </cfRule>
  </conditionalFormatting>
  <conditionalFormatting sqref="F22">
    <cfRule type="cellIs" dxfId="4" priority="1" operator="lessThan">
      <formula>0</formula>
    </cfRule>
  </conditionalFormatting>
  <pageMargins left="0.57986111111111116" right="0.77986111111111112" top="0.78749999999999998" bottom="0.78749999999999998" header="0.51180555555555551" footer="0.51180555555555551"/>
  <pageSetup paperSize="9" firstPageNumber="0"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dimension ref="A1:G24"/>
  <sheetViews>
    <sheetView showGridLines="0" topLeftCell="A10" zoomScale="75" zoomScaleNormal="75" workbookViewId="0">
      <selection activeCell="C23" sqref="C23"/>
    </sheetView>
  </sheetViews>
  <sheetFormatPr baseColWidth="10" defaultColWidth="10.7109375" defaultRowHeight="14.1" customHeight="1"/>
  <cols>
    <col min="1" max="1" width="2.7109375" style="260" customWidth="1"/>
    <col min="2" max="2" width="54.28515625" style="260" customWidth="1"/>
    <col min="3" max="3" width="7.28515625" style="260" customWidth="1"/>
    <col min="4" max="4" width="5.28515625" style="261" customWidth="1"/>
    <col min="5" max="5" width="6.7109375" style="260" customWidth="1"/>
    <col min="6" max="6" width="15" style="262" customWidth="1"/>
    <col min="7" max="7" width="10.7109375" style="263" customWidth="1"/>
    <col min="8" max="16384" width="10.7109375" style="260"/>
  </cols>
  <sheetData>
    <row r="1" spans="1:6" ht="14.1" customHeight="1">
      <c r="A1" s="264"/>
      <c r="B1" s="265"/>
      <c r="C1" s="266"/>
      <c r="D1" s="265"/>
      <c r="E1" s="267"/>
      <c r="F1" s="266"/>
    </row>
    <row r="2" spans="1:6" ht="14.1" customHeight="1">
      <c r="A2" s="264"/>
      <c r="B2" s="622" t="str">
        <f>'12.lan'!D91&amp;" - "&amp;'0. Intro'!B3&amp;" "&amp;'0. Intro'!C3</f>
        <v>Gemeinwohl-Bilanz-Rechner - Version 5.02</v>
      </c>
      <c r="C2" s="622"/>
      <c r="D2" s="622"/>
      <c r="E2" s="622"/>
      <c r="F2" s="622"/>
    </row>
    <row r="3" spans="1:6" ht="7.5" customHeight="1">
      <c r="A3" s="264"/>
      <c r="B3" s="623" t="str">
        <f>'12.lan'!D242&amp;'1. General'!C6</f>
        <v xml:space="preserve">Gruppen-Stern für </v>
      </c>
      <c r="C3" s="623"/>
      <c r="D3" s="623"/>
      <c r="E3" s="623"/>
      <c r="F3" s="623"/>
    </row>
    <row r="4" spans="1:6" ht="15" customHeight="1">
      <c r="A4" s="264"/>
      <c r="B4" s="623"/>
      <c r="C4" s="623"/>
      <c r="D4" s="623"/>
      <c r="E4" s="623"/>
      <c r="F4" s="623"/>
    </row>
    <row r="5" spans="1:6" ht="30" customHeight="1">
      <c r="A5" s="264"/>
      <c r="B5" s="268"/>
      <c r="C5" s="266"/>
      <c r="D5" s="265"/>
      <c r="E5" s="267"/>
      <c r="F5" s="266"/>
    </row>
    <row r="6" spans="1:6" ht="14.1" customHeight="1">
      <c r="A6" s="264"/>
      <c r="B6" s="268"/>
      <c r="C6" s="266"/>
      <c r="D6" s="265"/>
      <c r="E6" s="267"/>
      <c r="F6" s="266"/>
    </row>
    <row r="7" spans="1:6" ht="14.1" customHeight="1">
      <c r="A7" s="264"/>
      <c r="B7" s="268"/>
      <c r="C7" s="269"/>
      <c r="D7" s="269"/>
      <c r="E7" s="268"/>
      <c r="F7" s="264"/>
    </row>
    <row r="8" spans="1:6" ht="15" customHeight="1">
      <c r="A8" s="264"/>
      <c r="B8" s="266"/>
      <c r="C8" s="266"/>
      <c r="D8" s="265"/>
      <c r="E8" s="267"/>
      <c r="F8" s="266"/>
    </row>
    <row r="9" spans="1:6" ht="30" customHeight="1">
      <c r="A9" s="264"/>
      <c r="B9" s="270"/>
      <c r="C9" s="271"/>
      <c r="D9" s="272"/>
      <c r="E9" s="271"/>
      <c r="F9" s="273"/>
    </row>
    <row r="10" spans="1:6" ht="30" customHeight="1">
      <c r="A10" s="264"/>
      <c r="B10" s="270"/>
      <c r="C10" s="271"/>
      <c r="D10" s="272"/>
      <c r="E10" s="271"/>
      <c r="F10" s="273"/>
    </row>
    <row r="11" spans="1:6" ht="30" customHeight="1">
      <c r="A11" s="264"/>
      <c r="B11" s="270"/>
      <c r="C11" s="271"/>
      <c r="D11" s="272"/>
      <c r="E11" s="271"/>
      <c r="F11" s="273"/>
    </row>
    <row r="12" spans="1:6" ht="30" customHeight="1">
      <c r="A12" s="264"/>
      <c r="B12" s="270"/>
      <c r="C12" s="271"/>
      <c r="D12" s="272"/>
      <c r="E12" s="271"/>
      <c r="F12" s="273"/>
    </row>
    <row r="13" spans="1:6" ht="30" customHeight="1">
      <c r="A13" s="264"/>
      <c r="B13" s="270"/>
      <c r="C13" s="271"/>
      <c r="D13" s="272"/>
      <c r="E13" s="271"/>
      <c r="F13" s="273"/>
    </row>
    <row r="14" spans="1:6" ht="14.1" customHeight="1">
      <c r="A14" s="264"/>
      <c r="B14" s="264"/>
      <c r="C14" s="264"/>
      <c r="D14" s="265"/>
      <c r="E14" s="264"/>
      <c r="F14" s="266"/>
    </row>
    <row r="15" spans="1:6" ht="15" customHeight="1">
      <c r="A15" s="264"/>
      <c r="B15" s="624"/>
      <c r="C15" s="624"/>
      <c r="D15" s="624"/>
      <c r="E15" s="624"/>
      <c r="F15" s="624"/>
    </row>
    <row r="16" spans="1:6" ht="93.75" customHeight="1">
      <c r="A16" s="264"/>
      <c r="B16" s="625"/>
      <c r="C16" s="625"/>
      <c r="D16" s="625"/>
      <c r="E16" s="625"/>
      <c r="F16" s="625"/>
    </row>
    <row r="17" spans="1:7" ht="30" customHeight="1">
      <c r="A17" s="264"/>
      <c r="B17" s="626" t="str">
        <f>'12.lan'!D221</f>
        <v>BILANZ-ÜBERSICHT</v>
      </c>
      <c r="C17" s="626"/>
      <c r="D17" s="626"/>
      <c r="E17" s="626"/>
      <c r="F17" s="626"/>
    </row>
    <row r="18" spans="1:7" ht="26.25" customHeight="1">
      <c r="A18" s="264"/>
      <c r="B18" s="274" t="str">
        <f>'12.lan'!D108</f>
        <v>Lieferant*innen</v>
      </c>
      <c r="C18" s="275">
        <f>'3. Calc'!I9</f>
        <v>0</v>
      </c>
      <c r="D18" s="276" t="str">
        <f>'12.lan'!$D$214</f>
        <v xml:space="preserve"> von </v>
      </c>
      <c r="E18" s="277">
        <f>'3. Calc'!J9</f>
        <v>179.48717948717947</v>
      </c>
      <c r="F18" s="278">
        <f t="shared" ref="F18:F23" si="0">C18/E18</f>
        <v>0</v>
      </c>
      <c r="G18" s="76">
        <f>IF(F18&lt;0,0,F18)</f>
        <v>0</v>
      </c>
    </row>
    <row r="19" spans="1:7" ht="26.25" customHeight="1">
      <c r="A19" s="264"/>
      <c r="B19" s="274" t="str">
        <f>'12.lan'!D122</f>
        <v>Eigentümer*innen und Finanzpartner*innen</v>
      </c>
      <c r="C19" s="275">
        <f>'3. Calc'!I21</f>
        <v>0</v>
      </c>
      <c r="D19" s="276" t="str">
        <f>'12.lan'!$D$214</f>
        <v xml:space="preserve"> von </v>
      </c>
      <c r="E19" s="277">
        <f>'3. Calc'!J21</f>
        <v>205.12820512820511</v>
      </c>
      <c r="F19" s="278">
        <f t="shared" si="0"/>
        <v>0</v>
      </c>
      <c r="G19" s="76">
        <f>IF(F19&lt;0,0,F19)</f>
        <v>0</v>
      </c>
    </row>
    <row r="20" spans="1:7" ht="26.25" customHeight="1">
      <c r="A20" s="264"/>
      <c r="B20" s="274" t="str">
        <f>'12.lan'!D137</f>
        <v>Mitarbeitende</v>
      </c>
      <c r="C20" s="275">
        <f>'3. Calc'!I33</f>
        <v>0</v>
      </c>
      <c r="D20" s="276" t="str">
        <f>'12.lan'!$D$214</f>
        <v xml:space="preserve"> von </v>
      </c>
      <c r="E20" s="277">
        <f>'3. Calc'!J33</f>
        <v>205.12820512820511</v>
      </c>
      <c r="F20" s="278">
        <f t="shared" si="0"/>
        <v>0</v>
      </c>
      <c r="G20" s="76">
        <f>IF(F20&lt;0,0,F20)</f>
        <v>0</v>
      </c>
    </row>
    <row r="21" spans="1:7" ht="26.25" customHeight="1">
      <c r="A21" s="264"/>
      <c r="B21" s="274" t="str">
        <f>'12.lan'!D158</f>
        <v>Kund*nnen und Mitunternehmen</v>
      </c>
      <c r="C21" s="275">
        <f>'3. Calc'!I46</f>
        <v>0</v>
      </c>
      <c r="D21" s="276" t="str">
        <f>'12.lan'!$D$214</f>
        <v xml:space="preserve"> von </v>
      </c>
      <c r="E21" s="277">
        <f>'3. Calc'!J46</f>
        <v>205.12820512820511</v>
      </c>
      <c r="F21" s="278">
        <f t="shared" si="0"/>
        <v>0</v>
      </c>
      <c r="G21" s="76">
        <f>IF(F21&lt;0,0,F21)</f>
        <v>0</v>
      </c>
    </row>
    <row r="22" spans="1:7" ht="26.25" customHeight="1">
      <c r="A22" s="264"/>
      <c r="B22" s="274" t="str">
        <f>'12.lan'!D175</f>
        <v>Gesellschaftliches Umfeld</v>
      </c>
      <c r="C22" s="275">
        <f>'3. Calc'!I59</f>
        <v>0</v>
      </c>
      <c r="D22" s="276" t="str">
        <f>'12.lan'!$D$214</f>
        <v xml:space="preserve"> von </v>
      </c>
      <c r="E22" s="277">
        <f>'3. Calc'!J59</f>
        <v>205.12820512820511</v>
      </c>
      <c r="F22" s="278">
        <f t="shared" si="0"/>
        <v>0</v>
      </c>
      <c r="G22" s="76">
        <f>IF(F22&lt;0,0,F22)</f>
        <v>0</v>
      </c>
    </row>
    <row r="23" spans="1:7" ht="30" customHeight="1">
      <c r="A23" s="264"/>
      <c r="B23" s="279" t="str">
        <f>'12.lan'!D228</f>
        <v>SUMME</v>
      </c>
      <c r="C23" s="280">
        <f>'3. Calc'!I4</f>
        <v>0</v>
      </c>
      <c r="D23" s="281" t="str">
        <f>'12.lan'!$D$214</f>
        <v xml:space="preserve"> von </v>
      </c>
      <c r="E23" s="282">
        <f>'3. Calc'!J4</f>
        <v>1000</v>
      </c>
      <c r="F23" s="283">
        <f t="shared" si="0"/>
        <v>0</v>
      </c>
    </row>
    <row r="24" spans="1:7" ht="14.1" customHeight="1">
      <c r="A24" s="264"/>
      <c r="B24" s="264"/>
      <c r="C24" s="264"/>
      <c r="D24" s="265"/>
      <c r="E24" s="264"/>
      <c r="F24" s="266"/>
    </row>
  </sheetData>
  <sheetProtection algorithmName="SHA-512" hashValue="W7vDJ2Jy2I5QIRMxnIrRtzCuRxBbiDHh9K3jDXxneQ66TvpHBaNQjutnWxqb2Ce6LIGw4Z1I7+wfe0o5y3CB9g==" saltValue="hbzjvZ0nPCYWuqDoPw09sQ==" spinCount="100000" sheet="1" objects="1" scenarios="1" selectLockedCells="1" selectUnlockedCells="1"/>
  <mergeCells count="5">
    <mergeCell ref="B2:F2"/>
    <mergeCell ref="B3:F4"/>
    <mergeCell ref="B15:F15"/>
    <mergeCell ref="B16:F16"/>
    <mergeCell ref="B17:F17"/>
  </mergeCells>
  <conditionalFormatting sqref="F18:F22">
    <cfRule type="cellIs" dxfId="3" priority="2" operator="lessThan">
      <formula>0</formula>
    </cfRule>
  </conditionalFormatting>
  <conditionalFormatting sqref="F23">
    <cfRule type="cellIs" dxfId="2" priority="1" operator="lessThan">
      <formula>0</formula>
    </cfRule>
  </conditionalFormatting>
  <pageMargins left="0.57986111111111116" right="0.77986111111111112" top="0.78749999999999998" bottom="0.78749999999999998" header="0.51180555555555551" footer="0.51180555555555551"/>
  <pageSetup paperSize="9" firstPageNumber="0"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G39"/>
  <sheetViews>
    <sheetView showGridLines="0" topLeftCell="A18" zoomScale="75" zoomScaleNormal="75" workbookViewId="0">
      <selection activeCell="F34" sqref="F34"/>
    </sheetView>
  </sheetViews>
  <sheetFormatPr baseColWidth="10" defaultColWidth="10.7109375" defaultRowHeight="14.1" customHeight="1"/>
  <cols>
    <col min="1" max="1" width="2.7109375" style="260" customWidth="1"/>
    <col min="2" max="2" width="49.85546875" style="260" customWidth="1"/>
    <col min="3" max="3" width="7.28515625" style="260" customWidth="1"/>
    <col min="4" max="4" width="5.28515625" style="261" customWidth="1"/>
    <col min="5" max="5" width="6.7109375" style="260" customWidth="1"/>
    <col min="6" max="6" width="15" style="262" customWidth="1"/>
    <col min="7" max="7" width="10.7109375" style="263" customWidth="1"/>
    <col min="8" max="16384" width="10.7109375" style="260"/>
  </cols>
  <sheetData>
    <row r="1" spans="1:6" ht="14.1" customHeight="1">
      <c r="A1" s="264"/>
      <c r="B1" s="265"/>
      <c r="C1" s="266"/>
      <c r="D1" s="265"/>
      <c r="E1" s="267"/>
      <c r="F1" s="266"/>
    </row>
    <row r="2" spans="1:6" ht="14.1" customHeight="1">
      <c r="A2" s="264"/>
      <c r="B2" s="622" t="str">
        <f>'12.lan'!D91&amp;" - "&amp;'0. Intro'!B3&amp;" "&amp;'0. Intro'!C3</f>
        <v>Gemeinwohl-Bilanz-Rechner - Version 5.02</v>
      </c>
      <c r="C2" s="622"/>
      <c r="D2" s="622"/>
      <c r="E2" s="622"/>
      <c r="F2" s="622"/>
    </row>
    <row r="3" spans="1:6" ht="7.5" customHeight="1">
      <c r="A3" s="264"/>
      <c r="B3" s="623" t="str">
        <f>'12.lan'!D243&amp;'1. General'!C6</f>
        <v xml:space="preserve">Themen-Stern für </v>
      </c>
      <c r="C3" s="623"/>
      <c r="D3" s="623"/>
      <c r="E3" s="623"/>
      <c r="F3" s="623"/>
    </row>
    <row r="4" spans="1:6" ht="15" customHeight="1">
      <c r="A4" s="264"/>
      <c r="B4" s="623"/>
      <c r="C4" s="623"/>
      <c r="D4" s="623"/>
      <c r="E4" s="623"/>
      <c r="F4" s="623"/>
    </row>
    <row r="5" spans="1:6" ht="30" customHeight="1">
      <c r="A5" s="264"/>
      <c r="B5" s="268"/>
      <c r="C5" s="266"/>
      <c r="D5" s="265"/>
      <c r="E5" s="267"/>
      <c r="F5" s="266"/>
    </row>
    <row r="6" spans="1:6" ht="14.1" customHeight="1">
      <c r="A6" s="264"/>
      <c r="B6" s="268"/>
      <c r="C6" s="266"/>
      <c r="D6" s="265"/>
      <c r="E6" s="267"/>
      <c r="F6" s="266"/>
    </row>
    <row r="7" spans="1:6" ht="14.1" customHeight="1">
      <c r="A7" s="264"/>
      <c r="B7" s="268"/>
      <c r="C7" s="269"/>
      <c r="D7" s="269"/>
      <c r="E7" s="268"/>
      <c r="F7" s="264"/>
    </row>
    <row r="8" spans="1:6" ht="15" customHeight="1">
      <c r="A8" s="264"/>
      <c r="B8" s="266"/>
      <c r="C8" s="266"/>
      <c r="D8" s="265"/>
      <c r="E8" s="267"/>
      <c r="F8" s="266"/>
    </row>
    <row r="9" spans="1:6" ht="30" customHeight="1">
      <c r="A9" s="264"/>
      <c r="B9" s="270"/>
      <c r="C9" s="271"/>
      <c r="D9" s="272"/>
      <c r="E9" s="271"/>
      <c r="F9" s="273"/>
    </row>
    <row r="10" spans="1:6" ht="30" customHeight="1">
      <c r="A10" s="264"/>
      <c r="B10" s="270"/>
      <c r="C10" s="271"/>
      <c r="D10" s="272"/>
      <c r="E10" s="271"/>
      <c r="F10" s="273"/>
    </row>
    <row r="11" spans="1:6" ht="30" customHeight="1">
      <c r="A11" s="264"/>
      <c r="B11" s="270"/>
      <c r="C11" s="271"/>
      <c r="D11" s="272"/>
      <c r="E11" s="271"/>
      <c r="F11" s="273"/>
    </row>
    <row r="12" spans="1:6" ht="30" customHeight="1">
      <c r="A12" s="264"/>
      <c r="B12" s="270"/>
      <c r="C12" s="271"/>
      <c r="D12" s="272"/>
      <c r="E12" s="271"/>
      <c r="F12" s="273"/>
    </row>
    <row r="13" spans="1:6" ht="30" customHeight="1">
      <c r="A13" s="264"/>
      <c r="B13" s="270"/>
      <c r="C13" s="271"/>
      <c r="D13" s="272"/>
      <c r="E13" s="271"/>
      <c r="F13" s="273"/>
    </row>
    <row r="14" spans="1:6" ht="14.1" customHeight="1">
      <c r="A14" s="264"/>
      <c r="B14" s="264"/>
      <c r="C14" s="264"/>
      <c r="D14" s="265"/>
      <c r="E14" s="264"/>
      <c r="F14" s="266"/>
    </row>
    <row r="15" spans="1:6" ht="15" customHeight="1">
      <c r="A15" s="264"/>
      <c r="B15" s="624"/>
      <c r="C15" s="624"/>
      <c r="D15" s="624"/>
      <c r="E15" s="624"/>
      <c r="F15" s="624"/>
    </row>
    <row r="16" spans="1:6" ht="93.75" customHeight="1">
      <c r="A16" s="264"/>
      <c r="B16" s="625"/>
      <c r="C16" s="625"/>
      <c r="D16" s="625"/>
      <c r="E16" s="625"/>
      <c r="F16" s="625"/>
    </row>
    <row r="17" spans="1:7" ht="30" customHeight="1">
      <c r="A17" s="264"/>
      <c r="B17" s="626" t="str">
        <f>'12.lan'!D221</f>
        <v>BILANZ-ÜBERSICHT</v>
      </c>
      <c r="C17" s="626"/>
      <c r="D17" s="626"/>
      <c r="E17" s="626"/>
      <c r="F17" s="626"/>
    </row>
    <row r="18" spans="1:7" s="263" customFormat="1" ht="26.25" customHeight="1">
      <c r="A18" s="264"/>
      <c r="B18" s="274" t="s">
        <v>14</v>
      </c>
      <c r="C18" s="275">
        <f>'4. ECG-Matrix'!C9</f>
        <v>0</v>
      </c>
      <c r="D18" s="276" t="str">
        <f>'12.lan'!$D$214</f>
        <v xml:space="preserve"> von </v>
      </c>
      <c r="E18" s="277">
        <f>'4. ECG-Matrix'!E9</f>
        <v>51.282051282051277</v>
      </c>
      <c r="F18" s="528">
        <f t="shared" ref="F18:F38" si="0">C18/E18</f>
        <v>0</v>
      </c>
      <c r="G18" s="76">
        <f t="shared" ref="G18:G37" si="1">IF(F18&lt;0,0,F18)</f>
        <v>0</v>
      </c>
    </row>
    <row r="19" spans="1:7" s="263" customFormat="1" ht="26.25" customHeight="1">
      <c r="A19" s="264"/>
      <c r="B19" s="274" t="s">
        <v>17</v>
      </c>
      <c r="C19" s="275">
        <f>'4. ECG-Matrix'!G9</f>
        <v>0</v>
      </c>
      <c r="D19" s="276" t="str">
        <f>'12.lan'!$D$214</f>
        <v xml:space="preserve"> von </v>
      </c>
      <c r="E19" s="277">
        <f>'4. ECG-Matrix'!I9</f>
        <v>51.282051282051277</v>
      </c>
      <c r="F19" s="528">
        <f t="shared" si="0"/>
        <v>0</v>
      </c>
      <c r="G19" s="76">
        <f t="shared" si="1"/>
        <v>0</v>
      </c>
    </row>
    <row r="20" spans="1:7" s="263" customFormat="1" ht="26.25" customHeight="1">
      <c r="A20" s="264"/>
      <c r="B20" s="274" t="s">
        <v>21</v>
      </c>
      <c r="C20" s="275">
        <f>'4. ECG-Matrix'!K9</f>
        <v>0</v>
      </c>
      <c r="D20" s="276" t="str">
        <f>'12.lan'!$D$214</f>
        <v xml:space="preserve"> von </v>
      </c>
      <c r="E20" s="277">
        <f>'4. ECG-Matrix'!M9</f>
        <v>51.282051282051277</v>
      </c>
      <c r="F20" s="528">
        <f t="shared" si="0"/>
        <v>0</v>
      </c>
      <c r="G20" s="76">
        <f t="shared" si="1"/>
        <v>0</v>
      </c>
    </row>
    <row r="21" spans="1:7" s="263" customFormat="1" ht="26.25" customHeight="1">
      <c r="A21" s="264"/>
      <c r="B21" s="274" t="s">
        <v>24</v>
      </c>
      <c r="C21" s="275">
        <f>'4. ECG-Matrix'!O9</f>
        <v>0</v>
      </c>
      <c r="D21" s="276" t="str">
        <f>'12.lan'!$D$214</f>
        <v xml:space="preserve"> von </v>
      </c>
      <c r="E21" s="277">
        <f>'4. ECG-Matrix'!Q9</f>
        <v>25.641025641025639</v>
      </c>
      <c r="F21" s="528">
        <f t="shared" si="0"/>
        <v>0</v>
      </c>
      <c r="G21" s="76">
        <f t="shared" si="1"/>
        <v>0</v>
      </c>
    </row>
    <row r="22" spans="1:7" s="263" customFormat="1" ht="26.25" customHeight="1">
      <c r="A22" s="264"/>
      <c r="B22" s="274" t="s">
        <v>28</v>
      </c>
      <c r="C22" s="275">
        <f>'4. ECG-Matrix'!C11</f>
        <v>0</v>
      </c>
      <c r="D22" s="276" t="str">
        <f>'12.lan'!$D$214</f>
        <v xml:space="preserve"> von </v>
      </c>
      <c r="E22" s="277">
        <f>'4. ECG-Matrix'!E11</f>
        <v>51.282051282051277</v>
      </c>
      <c r="F22" s="528">
        <f t="shared" si="0"/>
        <v>0</v>
      </c>
      <c r="G22" s="76">
        <f t="shared" si="1"/>
        <v>0</v>
      </c>
    </row>
    <row r="23" spans="1:7" s="263" customFormat="1" ht="26.25" customHeight="1">
      <c r="A23" s="264"/>
      <c r="B23" s="274" t="s">
        <v>32</v>
      </c>
      <c r="C23" s="275">
        <f>'4. ECG-Matrix'!G11</f>
        <v>0</v>
      </c>
      <c r="D23" s="276" t="str">
        <f>'12.lan'!$D$214</f>
        <v xml:space="preserve"> von </v>
      </c>
      <c r="E23" s="277">
        <f>'4. ECG-Matrix'!I11</f>
        <v>51.282051282051277</v>
      </c>
      <c r="F23" s="528">
        <f t="shared" si="0"/>
        <v>0</v>
      </c>
      <c r="G23" s="76">
        <f t="shared" si="1"/>
        <v>0</v>
      </c>
    </row>
    <row r="24" spans="1:7" s="263" customFormat="1" ht="26.25" customHeight="1">
      <c r="A24" s="264"/>
      <c r="B24" s="274" t="s">
        <v>35</v>
      </c>
      <c r="C24" s="275">
        <f>'4. ECG-Matrix'!K11</f>
        <v>0</v>
      </c>
      <c r="D24" s="276" t="str">
        <f>'12.lan'!$D$214</f>
        <v xml:space="preserve"> von </v>
      </c>
      <c r="E24" s="277">
        <f>'4. ECG-Matrix'!M11</f>
        <v>51.282051282051277</v>
      </c>
      <c r="F24" s="528">
        <f t="shared" si="0"/>
        <v>0</v>
      </c>
      <c r="G24" s="76">
        <f t="shared" si="1"/>
        <v>0</v>
      </c>
    </row>
    <row r="25" spans="1:7" s="263" customFormat="1" ht="26.25" customHeight="1">
      <c r="A25" s="264"/>
      <c r="B25" s="274" t="s">
        <v>39</v>
      </c>
      <c r="C25" s="275">
        <f>'4. ECG-Matrix'!O11</f>
        <v>0</v>
      </c>
      <c r="D25" s="276" t="str">
        <f>'12.lan'!$D$214</f>
        <v xml:space="preserve"> von </v>
      </c>
      <c r="E25" s="277">
        <f>'4. ECG-Matrix'!Q11</f>
        <v>51.282051282051277</v>
      </c>
      <c r="F25" s="528">
        <f t="shared" si="0"/>
        <v>0</v>
      </c>
      <c r="G25" s="76">
        <f t="shared" si="1"/>
        <v>0</v>
      </c>
    </row>
    <row r="26" spans="1:7" s="263" customFormat="1" ht="26.25" customHeight="1">
      <c r="A26" s="264"/>
      <c r="B26" s="274" t="s">
        <v>43</v>
      </c>
      <c r="C26" s="275">
        <f>'4. ECG-Matrix'!C13</f>
        <v>0</v>
      </c>
      <c r="D26" s="276" t="str">
        <f>'12.lan'!$D$214</f>
        <v xml:space="preserve"> von </v>
      </c>
      <c r="E26" s="277">
        <f>'4. ECG-Matrix'!E13</f>
        <v>51.282051282051277</v>
      </c>
      <c r="F26" s="528">
        <f t="shared" si="0"/>
        <v>0</v>
      </c>
      <c r="G26" s="76">
        <f t="shared" si="1"/>
        <v>0</v>
      </c>
    </row>
    <row r="27" spans="1:7" s="263" customFormat="1" ht="26.25" customHeight="1">
      <c r="A27" s="264"/>
      <c r="B27" s="274" t="s">
        <v>48</v>
      </c>
      <c r="C27" s="275">
        <f>'4. ECG-Matrix'!G13</f>
        <v>0</v>
      </c>
      <c r="D27" s="276" t="str">
        <f>'12.lan'!$D$214</f>
        <v xml:space="preserve"> von </v>
      </c>
      <c r="E27" s="277">
        <f>'4. ECG-Matrix'!I13</f>
        <v>51.282051282051277</v>
      </c>
      <c r="F27" s="528">
        <f t="shared" si="0"/>
        <v>0</v>
      </c>
      <c r="G27" s="76">
        <f t="shared" si="1"/>
        <v>0</v>
      </c>
    </row>
    <row r="28" spans="1:7" s="263" customFormat="1" ht="26.25" customHeight="1">
      <c r="A28" s="264"/>
      <c r="B28" s="274" t="s">
        <v>53</v>
      </c>
      <c r="C28" s="275">
        <f>'4. ECG-Matrix'!K13</f>
        <v>0</v>
      </c>
      <c r="D28" s="276" t="str">
        <f>'12.lan'!$D$214</f>
        <v xml:space="preserve"> von </v>
      </c>
      <c r="E28" s="277">
        <f>'4. ECG-Matrix'!M13</f>
        <v>51.282051282051277</v>
      </c>
      <c r="F28" s="528">
        <f t="shared" si="0"/>
        <v>0</v>
      </c>
      <c r="G28" s="76">
        <f t="shared" si="1"/>
        <v>0</v>
      </c>
    </row>
    <row r="29" spans="1:7" s="263" customFormat="1" ht="26.25" customHeight="1">
      <c r="A29" s="264"/>
      <c r="B29" s="274" t="s">
        <v>58</v>
      </c>
      <c r="C29" s="275">
        <f>'4. ECG-Matrix'!O13</f>
        <v>0</v>
      </c>
      <c r="D29" s="276" t="str">
        <f>'12.lan'!$D$214</f>
        <v xml:space="preserve"> von </v>
      </c>
      <c r="E29" s="277">
        <f>'4. ECG-Matrix'!Q13</f>
        <v>51.282051282051277</v>
      </c>
      <c r="F29" s="528">
        <f t="shared" si="0"/>
        <v>0</v>
      </c>
      <c r="G29" s="76">
        <f t="shared" si="1"/>
        <v>0</v>
      </c>
    </row>
    <row r="30" spans="1:7" s="263" customFormat="1" ht="26.25" customHeight="1">
      <c r="A30" s="264"/>
      <c r="B30" s="274" t="s">
        <v>64</v>
      </c>
      <c r="C30" s="275">
        <f>'4. ECG-Matrix'!C15</f>
        <v>0</v>
      </c>
      <c r="D30" s="276" t="str">
        <f>'12.lan'!$D$214</f>
        <v xml:space="preserve"> von </v>
      </c>
      <c r="E30" s="277">
        <f>'4. ECG-Matrix'!E15</f>
        <v>51.282051282051277</v>
      </c>
      <c r="F30" s="528">
        <f t="shared" si="0"/>
        <v>0</v>
      </c>
      <c r="G30" s="76">
        <f t="shared" si="1"/>
        <v>0</v>
      </c>
    </row>
    <row r="31" spans="1:7" s="263" customFormat="1" ht="26.25" customHeight="1">
      <c r="A31" s="264"/>
      <c r="B31" s="274" t="s">
        <v>68</v>
      </c>
      <c r="C31" s="275">
        <f>'4. ECG-Matrix'!G15</f>
        <v>0</v>
      </c>
      <c r="D31" s="276" t="str">
        <f>'12.lan'!$D$214</f>
        <v xml:space="preserve"> von </v>
      </c>
      <c r="E31" s="277">
        <f>'4. ECG-Matrix'!I15</f>
        <v>51.282051282051277</v>
      </c>
      <c r="F31" s="528">
        <f t="shared" si="0"/>
        <v>0</v>
      </c>
      <c r="G31" s="76">
        <f t="shared" si="1"/>
        <v>0</v>
      </c>
    </row>
    <row r="32" spans="1:7" s="263" customFormat="1" ht="26.25" customHeight="1">
      <c r="A32" s="264"/>
      <c r="B32" s="274" t="s">
        <v>72</v>
      </c>
      <c r="C32" s="275">
        <f>'4. ECG-Matrix'!K15</f>
        <v>0</v>
      </c>
      <c r="D32" s="276" t="str">
        <f>'12.lan'!$D$214</f>
        <v xml:space="preserve"> von </v>
      </c>
      <c r="E32" s="277">
        <f>'4. ECG-Matrix'!M15</f>
        <v>51.282051282051277</v>
      </c>
      <c r="F32" s="528">
        <f t="shared" si="0"/>
        <v>0</v>
      </c>
      <c r="G32" s="76">
        <f t="shared" si="1"/>
        <v>0</v>
      </c>
    </row>
    <row r="33" spans="1:7" s="263" customFormat="1" ht="26.25" customHeight="1">
      <c r="A33" s="264"/>
      <c r="B33" s="274" t="s">
        <v>76</v>
      </c>
      <c r="C33" s="275">
        <f>'4. ECG-Matrix'!O15</f>
        <v>0</v>
      </c>
      <c r="D33" s="276" t="str">
        <f>'12.lan'!$D$214</f>
        <v xml:space="preserve"> von </v>
      </c>
      <c r="E33" s="277">
        <f>'4. ECG-Matrix'!Q15</f>
        <v>51.282051282051277</v>
      </c>
      <c r="F33" s="528">
        <f t="shared" si="0"/>
        <v>0</v>
      </c>
      <c r="G33" s="76">
        <f t="shared" si="1"/>
        <v>0</v>
      </c>
    </row>
    <row r="34" spans="1:7" s="263" customFormat="1" ht="26.25" customHeight="1">
      <c r="A34" s="264"/>
      <c r="B34" s="274" t="s">
        <v>80</v>
      </c>
      <c r="C34" s="275">
        <f>'4. ECG-Matrix'!C17</f>
        <v>0</v>
      </c>
      <c r="D34" s="276" t="str">
        <f>'12.lan'!$D$214</f>
        <v xml:space="preserve"> von </v>
      </c>
      <c r="E34" s="277">
        <f>'4. ECG-Matrix'!E17</f>
        <v>51.282051282051277</v>
      </c>
      <c r="F34" s="528">
        <f t="shared" si="0"/>
        <v>0</v>
      </c>
      <c r="G34" s="76">
        <f t="shared" si="1"/>
        <v>0</v>
      </c>
    </row>
    <row r="35" spans="1:7" s="263" customFormat="1" ht="26.25" customHeight="1">
      <c r="A35" s="264"/>
      <c r="B35" s="274" t="s">
        <v>84</v>
      </c>
      <c r="C35" s="275">
        <f>'4. ECG-Matrix'!G17</f>
        <v>0</v>
      </c>
      <c r="D35" s="276" t="str">
        <f>'12.lan'!$D$214</f>
        <v xml:space="preserve"> von </v>
      </c>
      <c r="E35" s="277">
        <f>'4. ECG-Matrix'!I17</f>
        <v>51.282051282051277</v>
      </c>
      <c r="F35" s="528">
        <f t="shared" si="0"/>
        <v>0</v>
      </c>
      <c r="G35" s="76">
        <f t="shared" si="1"/>
        <v>0</v>
      </c>
    </row>
    <row r="36" spans="1:7" s="263" customFormat="1" ht="26.25" customHeight="1">
      <c r="A36" s="264"/>
      <c r="B36" s="274" t="s">
        <v>89</v>
      </c>
      <c r="C36" s="275">
        <f>'4. ECG-Matrix'!K17</f>
        <v>0</v>
      </c>
      <c r="D36" s="276" t="str">
        <f>'12.lan'!$D$214</f>
        <v xml:space="preserve"> von </v>
      </c>
      <c r="E36" s="277">
        <f>'4. ECG-Matrix'!M17</f>
        <v>51.282051282051277</v>
      </c>
      <c r="F36" s="528">
        <f t="shared" si="0"/>
        <v>0</v>
      </c>
      <c r="G36" s="76">
        <f t="shared" si="1"/>
        <v>0</v>
      </c>
    </row>
    <row r="37" spans="1:7" s="263" customFormat="1" ht="26.25" customHeight="1">
      <c r="A37" s="264"/>
      <c r="B37" s="274" t="s">
        <v>93</v>
      </c>
      <c r="C37" s="275">
        <f>'4. ECG-Matrix'!O17</f>
        <v>0</v>
      </c>
      <c r="D37" s="276" t="str">
        <f>'12.lan'!$D$214</f>
        <v xml:space="preserve"> von </v>
      </c>
      <c r="E37" s="277">
        <f>'4. ECG-Matrix'!Q17</f>
        <v>51.282051282051277</v>
      </c>
      <c r="F37" s="528">
        <f t="shared" si="0"/>
        <v>0</v>
      </c>
      <c r="G37" s="76">
        <f t="shared" si="1"/>
        <v>0</v>
      </c>
    </row>
    <row r="38" spans="1:7" s="263" customFormat="1" ht="30" customHeight="1">
      <c r="A38" s="264"/>
      <c r="B38" s="279" t="str">
        <f>'12.lan'!D228</f>
        <v>SUMME</v>
      </c>
      <c r="C38" s="280">
        <f>'3. Calc'!I4</f>
        <v>0</v>
      </c>
      <c r="D38" s="284" t="str">
        <f>'12.lan'!$D$214</f>
        <v xml:space="preserve"> von </v>
      </c>
      <c r="E38" s="282">
        <f>'3. Calc'!J4</f>
        <v>1000</v>
      </c>
      <c r="F38" s="529">
        <f t="shared" si="0"/>
        <v>0</v>
      </c>
    </row>
    <row r="39" spans="1:7" s="263" customFormat="1" ht="14.1" customHeight="1">
      <c r="A39" s="264"/>
      <c r="B39" s="264"/>
      <c r="C39" s="264"/>
      <c r="D39" s="265"/>
      <c r="E39" s="264"/>
      <c r="F39" s="266"/>
    </row>
  </sheetData>
  <sheetProtection algorithmName="SHA-512" hashValue="qkR+hGcrxIvif0yBfvRRxtSBGIgBAvRowFheoAAE/KZGVIH3cS6rfCZJ2BlKsm+4jHjB3Tq7PeiVA7nWKCdoYg==" saltValue="nfDcNA+FazMkEvDJgD7iBQ==" spinCount="100000" sheet="1" objects="1" scenarios="1"/>
  <mergeCells count="5">
    <mergeCell ref="B2:F2"/>
    <mergeCell ref="B3:F4"/>
    <mergeCell ref="B15:F15"/>
    <mergeCell ref="B16:F16"/>
    <mergeCell ref="B17:F17"/>
  </mergeCells>
  <conditionalFormatting sqref="F18:F37">
    <cfRule type="cellIs" dxfId="1" priority="2" operator="lessThan">
      <formula>0</formula>
    </cfRule>
  </conditionalFormatting>
  <conditionalFormatting sqref="F38">
    <cfRule type="cellIs" dxfId="0" priority="1" operator="lessThan">
      <formula>0</formula>
    </cfRule>
  </conditionalFormatting>
  <pageMargins left="0.57986111111111116" right="0.77986111111111112" top="0.78749999999999998" bottom="0.78749999999999998" header="0.51180555555555551" footer="0.51180555555555551"/>
  <pageSetup paperSize="9" firstPageNumber="0"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F26"/>
  <sheetViews>
    <sheetView zoomScale="75" zoomScaleNormal="75" workbookViewId="0">
      <pane ySplit="2" topLeftCell="A3" activePane="bottomLeft" state="frozen"/>
      <selection pane="bottomLeft" activeCell="C6" sqref="C6"/>
    </sheetView>
  </sheetViews>
  <sheetFormatPr baseColWidth="10" defaultColWidth="10.28515625" defaultRowHeight="12.75" customHeight="1"/>
  <cols>
    <col min="1" max="1" width="32.28515625" style="285" customWidth="1"/>
    <col min="2" max="2" width="2.28515625" style="285" customWidth="1"/>
    <col min="3" max="3" width="94.28515625" style="286" customWidth="1"/>
    <col min="4" max="4" width="4.7109375" style="286" customWidth="1"/>
    <col min="5" max="16384" width="10.28515625" style="286"/>
  </cols>
  <sheetData>
    <row r="1" spans="1:6" ht="33" customHeight="1">
      <c r="A1" s="287" t="str">
        <f>'12.lan'!D91&amp;" - "&amp;'0. Intro'!B3&amp;" "&amp;'0. Intro'!C3</f>
        <v>Gemeinwohl-Bilanz-Rechner - Version 5.02</v>
      </c>
      <c r="B1" s="288"/>
      <c r="C1" s="288"/>
      <c r="D1" s="288"/>
      <c r="E1" s="288"/>
      <c r="F1" s="288"/>
    </row>
    <row r="2" spans="1:6" ht="31.5" customHeight="1">
      <c r="A2" s="553" t="str">
        <f>'12.lan'!D204</f>
        <v>Beschreibung des Gewichtungsmodelles</v>
      </c>
      <c r="B2" s="553"/>
      <c r="C2" s="553"/>
      <c r="D2" s="289"/>
      <c r="E2" s="289"/>
    </row>
    <row r="3" spans="1:6" ht="12" customHeight="1">
      <c r="A3" s="289"/>
      <c r="B3" s="289"/>
      <c r="C3" s="289"/>
      <c r="D3" s="289"/>
      <c r="E3" s="289"/>
    </row>
    <row r="4" spans="1:6" ht="108" customHeight="1">
      <c r="A4" s="290" t="str">
        <f>'12.lan'!D208</f>
        <v>Allgemein</v>
      </c>
      <c r="B4" s="290"/>
      <c r="C4" s="291" t="str">
        <f>'12.lan'!D244</f>
        <v>Die für alle Unternehmen gleiche und starre Punkteverteilung in der Matrix hat in den vergangenen Jahren innerhalb des Matrix-Entwicklungs-Team (MET) für viele Diskussionen gesorgt. Auch von außerhalb sind viele Fragen und kritische Rückmeldungen an uns herangetragen worden. Bislang war die Punkteverteilung auf die Themen mit Ausnahme von Ein-Personen-Unternehmen für alle Unternehmen gleich - unabhängig von der Unternehmensgröße, Branche und anderen Rahmenbedingungen (regionaler Hintergrund, B2B versus B2C, etc.). Relevanz und WirkungImpact auf das Gemeinwohl sind jedoch von diesen Determinanten nicht unabhängig. Beispielsweise ist die Lieferkette eines Elektronik-Handelsunternehmen (A1-A4) weitaus bedeutender als für ein Bergbauunternehmen, welches wiederum u.a. sehr große Effekte bei seinen direkten ökologischen Auswirkungen hat (E3). Das neue Gewichtungsmodell soll diesen Gedanken Rechnung tragen und die wesentlichen Faktoren stärker akzentuieren. Im Prozess wurden Meinungen der Bewegung im Rahmen einer Umfrage eingeholt und eine klare Präferenz für eine neue Herangehensweise rückgemeldet.</v>
      </c>
      <c r="D4" s="289"/>
      <c r="E4" s="289"/>
    </row>
    <row r="5" spans="1:6" ht="78.75" customHeight="1">
      <c r="A5" s="290" t="str">
        <f>'12.lan'!D207</f>
        <v>Berührungsgruppen &amp; Werte</v>
      </c>
      <c r="B5" s="290"/>
      <c r="C5" s="291" t="str">
        <f>'12.lan'!D245</f>
        <v xml:space="preserve">Bei der Gewichtung der 3 Berührungsgruppen A) LieferantInnen, B) InvestorenInnen und C) MitarbeiterInnen werden die Finanzströme zu diesen Berührungsgruppen zur Gewichtung herangezogen: A) Beschaffungsausgaben, B) Gewinn und Finanzierungskosten C) Löhne und Gehälter. Wir sind uns der limitierten Aussagekraft monetärer Größen bewusst und haben auch Ideen, wie dies in Zukunft verbessert werden kann. Gleichzeitig sind diese Zahlen in der  Finanzbilanzen der Unternehmen vorhanden, somit leicht verfügbar und kommen dem Bedürfnis vieler Unternehmen nach Einfachheit nach. Da in den Beschaffungskosten Steuern und Finanzierungskosten entahlten fliessen diese nur zu 50% in die Gewichtung ein. </v>
      </c>
    </row>
    <row r="6" spans="1:6" ht="45.75" customHeight="1">
      <c r="A6" s="292" t="str">
        <f>'12.lan'!D205</f>
        <v>Themen</v>
      </c>
      <c r="B6" s="292"/>
      <c r="C6" s="293" t="str">
        <f>'12.lan'!D246</f>
        <v>Auf Ebene der Themen gibt es ebenfalls Kriterien die zur Gewichtung herangezogen werden, beispielsweise Größe oder Branche eines Unternehmen oder Arbeitsrechtslage von Ländern. Für die Branchendefinition wenden wir den International Standard Industrial Classification of All Economic Activities (ISIC Rev.4) der Vereinten Nationen an. Für die Größeneinstufung wird die EU Definition herangezogen. Die nachstehende Tabelle fasst gegenwärtige Gewichtungsfaktoren zusammen (Stand Mai 2017).</v>
      </c>
    </row>
    <row r="7" spans="1:6" ht="18.75" customHeight="1">
      <c r="A7" s="294" t="s">
        <v>14</v>
      </c>
      <c r="B7" s="294"/>
      <c r="C7" s="293" t="s">
        <v>154</v>
      </c>
    </row>
    <row r="8" spans="1:6" ht="18.75" customHeight="1">
      <c r="A8" s="295" t="s">
        <v>17</v>
      </c>
      <c r="B8" s="295"/>
      <c r="C8" s="293" t="str">
        <f>'12.lan'!D248</f>
        <v>-</v>
      </c>
    </row>
    <row r="9" spans="1:6" ht="26.25" customHeight="1">
      <c r="A9" s="296" t="s">
        <v>21</v>
      </c>
      <c r="B9" s="296"/>
      <c r="C9" s="293" t="str">
        <f>'12.lan'!D249</f>
        <v>Die Gewichtung dieses Thema’s ist abhängig vom ökologischen Effekt der Branche des Lieferanten (siehe Tabellenblatt “Industry”)</v>
      </c>
    </row>
    <row r="10" spans="1:6" ht="24.75" customHeight="1">
      <c r="A10" s="296" t="s">
        <v>24</v>
      </c>
      <c r="B10" s="296"/>
      <c r="C10" s="293" t="str">
        <f>'12.lan'!D250</f>
        <v>Die Gewichtung dieses Thema’s ist abhängig von den Mitbestimmungsrechte in den Ländern der wichtigsten Zulieferbranchen (basierend auf dem ITUC-Index der International Trade Union Confederation)</v>
      </c>
    </row>
    <row r="11" spans="1:6" ht="20.25" customHeight="1">
      <c r="A11" s="296" t="s">
        <v>28</v>
      </c>
      <c r="B11" s="296"/>
      <c r="C11" s="293" t="str">
        <f>'12.lan'!D251</f>
        <v>Die Gewichtung dieses Thema’s ist abhängig von der Relation Umsatz zu Bilanzsumme</v>
      </c>
    </row>
    <row r="12" spans="1:6" ht="20.25" customHeight="1">
      <c r="A12" s="296" t="s">
        <v>32</v>
      </c>
      <c r="B12" s="296"/>
      <c r="C12" s="293" t="str">
        <f>'12.lan'!D252</f>
        <v xml:space="preserve">Die Gewichtung dieses Thema’s ist abhängig von der Relation Gewinn zu Umsatz </v>
      </c>
    </row>
    <row r="13" spans="1:6" ht="20.25" customHeight="1">
      <c r="A13" s="296" t="s">
        <v>35</v>
      </c>
      <c r="B13" s="296"/>
      <c r="C13" s="293" t="str">
        <f>'12.lan'!D253</f>
        <v>Die Gewichtung dieses Thema’s ist abhängig  Zugängen zum Anlagevermögen und Finanzvermögen in Relation zu der Bilanzsumme</v>
      </c>
    </row>
    <row r="14" spans="1:6" ht="20.25" customHeight="1">
      <c r="A14" s="296" t="s">
        <v>39</v>
      </c>
      <c r="B14" s="296"/>
      <c r="C14" s="293" t="str">
        <f>'12.lan'!D254</f>
        <v>Die Gewichtung dieses Thema’s ist abhängig von der Größe des Unternehmens</v>
      </c>
    </row>
    <row r="15" spans="1:6" ht="20.25" customHeight="1">
      <c r="A15" s="296" t="s">
        <v>43</v>
      </c>
      <c r="B15" s="296"/>
      <c r="C15" s="293" t="str">
        <f>'12.lan'!D255</f>
        <v>-</v>
      </c>
    </row>
    <row r="16" spans="1:6" ht="20.25" customHeight="1">
      <c r="A16" s="296" t="s">
        <v>48</v>
      </c>
      <c r="B16" s="296"/>
      <c r="C16" s="293" t="str">
        <f>'12.lan'!D256</f>
        <v>-</v>
      </c>
    </row>
    <row r="17" spans="1:3" ht="26.25" customHeight="1">
      <c r="A17" s="296" t="s">
        <v>53</v>
      </c>
      <c r="B17" s="296"/>
      <c r="C17" s="293" t="str">
        <f>'12.lan'!D257</f>
        <v>Die Gewichtung dieses Thema’s ist abhängig von der Existenz einer Kantine für die Mehrheit der Mitarbeiter*innen sowie dem (geschätzten) durchschnittlichen Anfahrtsweg zur Arbeit.</v>
      </c>
    </row>
    <row r="18" spans="1:3" ht="24.75" customHeight="1">
      <c r="A18" s="296" t="s">
        <v>58</v>
      </c>
      <c r="B18" s="296"/>
      <c r="C18" s="293" t="str">
        <f>'12.lan'!D258</f>
        <v>Die Gewichtung dieses Thema’s ist abhängig von der Größe des Unternehmens sowie von den Mitbestimmungsrechte in den Ländern der wichtigsten Standorte (basierend auf dem ITUC-Index der International Labour Union)</v>
      </c>
    </row>
    <row r="19" spans="1:3" ht="16.5" customHeight="1">
      <c r="A19" s="296" t="s">
        <v>64</v>
      </c>
      <c r="B19" s="296"/>
      <c r="C19" s="293" t="str">
        <f>'12.lan'!D259</f>
        <v>-</v>
      </c>
    </row>
    <row r="20" spans="1:3" ht="16.5" customHeight="1">
      <c r="A20" s="296" t="s">
        <v>68</v>
      </c>
      <c r="B20" s="296"/>
      <c r="C20" s="293" t="str">
        <f>'12.lan'!D260</f>
        <v>-</v>
      </c>
    </row>
    <row r="21" spans="1:3" ht="16.5" customHeight="1">
      <c r="A21" s="296" t="s">
        <v>72</v>
      </c>
      <c r="B21" s="296"/>
      <c r="C21" s="293" t="str">
        <f>'12.lan'!D261</f>
        <v xml:space="preserve">Die Gewichtung dieses Thema’s ist abhängig von der Branche </v>
      </c>
    </row>
    <row r="22" spans="1:3" ht="16.5" customHeight="1">
      <c r="A22" s="296" t="s">
        <v>76</v>
      </c>
      <c r="B22" s="296"/>
      <c r="C22" s="293" t="str">
        <f>'12.lan'!D262</f>
        <v>Die Gewichtung dieses Thema’s ist abhängig davon, ob Kund*innen in erster Linie Private oder Unternehmen sind</v>
      </c>
    </row>
    <row r="23" spans="1:3" ht="16.5" customHeight="1">
      <c r="A23" s="296" t="s">
        <v>80</v>
      </c>
      <c r="B23" s="296"/>
      <c r="C23" s="293" t="str">
        <f>'12.lan'!D263</f>
        <v>-</v>
      </c>
    </row>
    <row r="24" spans="1:3" ht="16.5" customHeight="1">
      <c r="A24" s="296" t="s">
        <v>84</v>
      </c>
      <c r="B24" s="296"/>
      <c r="C24" s="293" t="str">
        <f>'12.lan'!D264</f>
        <v>Die Gewichtung dieses Thema’s ist abhängig von der Umsatzrentabilität (Gewinn/Umsatz)</v>
      </c>
    </row>
    <row r="25" spans="1:3" ht="16.5" customHeight="1">
      <c r="A25" s="296" t="s">
        <v>89</v>
      </c>
      <c r="B25" s="296"/>
      <c r="C25" s="293" t="str">
        <f>'12.lan'!D265</f>
        <v>Die Gewichtung dieses Thenma’s ist abhängig von der Branche</v>
      </c>
    </row>
    <row r="26" spans="1:3" ht="16.5" customHeight="1">
      <c r="A26" s="297" t="s">
        <v>93</v>
      </c>
      <c r="B26" s="297"/>
      <c r="C26" s="293" t="str">
        <f>'12.lan'!D266</f>
        <v>Die Gewichtung dieses Thema’s ist abhängig von der Größe sowie der Branche des Unternehmens.</v>
      </c>
    </row>
  </sheetData>
  <sheetProtection algorithmName="SHA-512" hashValue="qTYVxoLzqPtZXSh22LaX0GX2Q2BSeI+JxLpdgWk9Zi2OTmHzUxyVNn49KbDC8N7xHa+uVrio007AUi1V/6MyEQ==" saltValue="fDGZWiVlMd4X3t68drNfXw==" spinCount="100000" sheet="1" selectLockedCells="1" selectUnlockedCells="1"/>
  <mergeCells count="1">
    <mergeCell ref="A2:C2"/>
  </mergeCells>
  <pageMargins left="0.7" right="0.7" top="0.78749999999999998" bottom="0.78749999999999998" header="0.51180555555555551" footer="0.51180555555555551"/>
  <pageSetup paperSize="9" firstPageNumber="0"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S39"/>
  <sheetViews>
    <sheetView zoomScale="75" zoomScaleNormal="75" workbookViewId="0">
      <pane xSplit="2" ySplit="3" topLeftCell="C4" activePane="bottomRight" state="frozen"/>
      <selection pane="topRight" activeCell="C1" sqref="C1"/>
      <selection pane="bottomLeft" activeCell="A4" sqref="A4"/>
      <selection pane="bottomRight" activeCell="M41" sqref="M41"/>
    </sheetView>
  </sheetViews>
  <sheetFormatPr baseColWidth="10" defaultColWidth="10.28515625" defaultRowHeight="9.75" customHeight="1"/>
  <cols>
    <col min="1" max="1" width="6.28515625" style="298" customWidth="1"/>
    <col min="2" max="2" width="43.28515625" style="298" customWidth="1"/>
    <col min="3" max="3" width="5" style="299" customWidth="1"/>
    <col min="4" max="4" width="1.28515625" style="298" customWidth="1"/>
    <col min="5" max="5" width="7.85546875" style="298" customWidth="1"/>
    <col min="6" max="6" width="12.28515625" style="298" customWidth="1"/>
    <col min="7" max="7" width="9.28515625" style="298" hidden="1" customWidth="1"/>
    <col min="8" max="8" width="20.85546875" style="298" hidden="1" customWidth="1"/>
    <col min="9" max="9" width="7.85546875" style="299" customWidth="1"/>
    <col min="10" max="10" width="14.85546875" style="298" customWidth="1"/>
    <col min="11" max="11" width="7.85546875" style="299" customWidth="1"/>
    <col min="12" max="12" width="14.28515625" style="298" customWidth="1"/>
    <col min="13" max="13" width="7.85546875" style="298" customWidth="1"/>
    <col min="14" max="14" width="9.85546875" style="298" customWidth="1"/>
    <col min="15" max="15" width="2.28515625" style="298" customWidth="1"/>
    <col min="16" max="16" width="7.85546875" style="298" customWidth="1"/>
    <col min="17" max="17" width="16.28515625" style="298" customWidth="1"/>
    <col min="18" max="16384" width="10.28515625" style="298"/>
  </cols>
  <sheetData>
    <row r="1" spans="1:19" ht="29.25" customHeight="1">
      <c r="A1" s="628" t="s">
        <v>155</v>
      </c>
      <c r="B1" s="628"/>
      <c r="C1" s="628"/>
      <c r="D1" s="628"/>
      <c r="E1" s="628"/>
      <c r="F1" s="628"/>
      <c r="G1" s="628"/>
      <c r="H1" s="628"/>
      <c r="I1" s="628"/>
      <c r="J1" s="628"/>
      <c r="K1" s="628"/>
      <c r="L1" s="628"/>
      <c r="M1" s="628"/>
      <c r="N1" s="628"/>
      <c r="O1" s="628"/>
      <c r="P1" s="628"/>
      <c r="Q1" s="628"/>
    </row>
    <row r="2" spans="1:19" ht="22.5" customHeight="1">
      <c r="A2" s="300"/>
      <c r="B2" s="301" t="s">
        <v>156</v>
      </c>
      <c r="C2" s="629"/>
      <c r="D2" s="629"/>
      <c r="E2" s="630" t="s">
        <v>157</v>
      </c>
      <c r="F2" s="630"/>
      <c r="G2" s="631" t="s">
        <v>158</v>
      </c>
      <c r="H2" s="631"/>
      <c r="I2" s="632" t="s">
        <v>159</v>
      </c>
      <c r="J2" s="632"/>
      <c r="K2" s="629" t="s">
        <v>160</v>
      </c>
      <c r="L2" s="629"/>
      <c r="M2" s="633" t="s">
        <v>161</v>
      </c>
      <c r="N2" s="633"/>
      <c r="O2" s="634" t="s">
        <v>162</v>
      </c>
      <c r="P2" s="634"/>
      <c r="Q2" s="634"/>
      <c r="R2" s="627"/>
      <c r="S2" s="627"/>
    </row>
    <row r="3" spans="1:19" ht="111" customHeight="1">
      <c r="A3" s="302"/>
      <c r="B3" s="303" t="s">
        <v>163</v>
      </c>
      <c r="C3" s="304"/>
      <c r="D3" s="305"/>
      <c r="E3" s="306" t="s">
        <v>164</v>
      </c>
      <c r="F3" s="305" t="s">
        <v>165</v>
      </c>
      <c r="G3" s="307" t="s">
        <v>164</v>
      </c>
      <c r="H3" s="307" t="s">
        <v>166</v>
      </c>
      <c r="I3" s="308" t="s">
        <v>164</v>
      </c>
      <c r="J3" s="309" t="s">
        <v>167</v>
      </c>
      <c r="K3" s="304" t="s">
        <v>164</v>
      </c>
      <c r="L3" s="305" t="s">
        <v>168</v>
      </c>
      <c r="M3" s="310" t="s">
        <v>164</v>
      </c>
      <c r="N3" s="309" t="s">
        <v>169</v>
      </c>
      <c r="O3" s="311"/>
      <c r="P3" s="312" t="s">
        <v>164</v>
      </c>
      <c r="Q3" s="313" t="s">
        <v>170</v>
      </c>
    </row>
    <row r="4" spans="1:19" ht="71.099999999999994" customHeight="1">
      <c r="A4" s="314" t="s">
        <v>171</v>
      </c>
      <c r="B4" s="315" t="str">
        <f>'12.lan'!D268</f>
        <v>A - Landwirtschaft, Forstwirtschaft und Fischerei</v>
      </c>
      <c r="C4" s="316"/>
      <c r="D4" s="317"/>
      <c r="E4" s="318" t="s">
        <v>152</v>
      </c>
      <c r="F4" s="317"/>
      <c r="G4" s="319"/>
      <c r="H4" s="319" t="s">
        <v>172</v>
      </c>
      <c r="I4" s="534" t="s">
        <v>150</v>
      </c>
      <c r="J4" s="320" t="s">
        <v>173</v>
      </c>
      <c r="K4" s="316" t="s">
        <v>152</v>
      </c>
      <c r="L4" s="317" t="s">
        <v>174</v>
      </c>
      <c r="M4" s="321" t="s">
        <v>150</v>
      </c>
      <c r="N4" s="322"/>
      <c r="O4" s="311"/>
      <c r="P4" s="323" t="s">
        <v>152</v>
      </c>
      <c r="Q4" s="313"/>
    </row>
    <row r="5" spans="1:19" ht="21" customHeight="1">
      <c r="A5" s="324" t="s">
        <v>175</v>
      </c>
      <c r="B5" s="315" t="str">
        <f>'12.lan'!D269</f>
        <v>B - Bergbau und Gewinnung von Steinen und Erden</v>
      </c>
      <c r="C5" s="325"/>
      <c r="D5" s="326"/>
      <c r="E5" s="327" t="s">
        <v>152</v>
      </c>
      <c r="F5" s="326"/>
      <c r="G5" s="328"/>
      <c r="H5" s="328"/>
      <c r="I5" s="329" t="s">
        <v>150</v>
      </c>
      <c r="J5" s="330"/>
      <c r="K5" s="325" t="s">
        <v>152</v>
      </c>
      <c r="L5" s="326" t="s">
        <v>176</v>
      </c>
      <c r="M5" s="331" t="s">
        <v>152</v>
      </c>
      <c r="N5" s="330"/>
      <c r="O5" s="311"/>
      <c r="P5" s="323" t="s">
        <v>152</v>
      </c>
      <c r="Q5" s="313"/>
    </row>
    <row r="6" spans="1:19" ht="20.100000000000001" customHeight="1">
      <c r="A6" s="324" t="s">
        <v>177</v>
      </c>
      <c r="B6" s="315" t="str">
        <f>'12.lan'!D270</f>
        <v>C - Verarbeitendes Gewerbe (nicht weiter spezifiziert)</v>
      </c>
      <c r="C6" s="325"/>
      <c r="D6" s="332"/>
      <c r="E6" s="333" t="s">
        <v>151</v>
      </c>
      <c r="F6" s="332"/>
      <c r="G6" s="334"/>
      <c r="H6" s="334"/>
      <c r="I6" s="329" t="s">
        <v>150</v>
      </c>
      <c r="J6" s="330"/>
      <c r="K6" s="325" t="s">
        <v>151</v>
      </c>
      <c r="L6" s="332" t="s">
        <v>178</v>
      </c>
      <c r="M6" s="331" t="s">
        <v>151</v>
      </c>
      <c r="N6" s="330"/>
      <c r="O6" s="311"/>
      <c r="P6" s="323" t="s">
        <v>151</v>
      </c>
      <c r="Q6" s="313"/>
    </row>
    <row r="7" spans="1:19" ht="9.75" customHeight="1">
      <c r="A7" s="324" t="s">
        <v>179</v>
      </c>
      <c r="B7" s="315" t="str">
        <f>'12.lan'!D271</f>
        <v>Ca - Produktion von Lebensmittel, Getränken und Tabak (C10,C11,C12)</v>
      </c>
      <c r="C7" s="325"/>
      <c r="D7" s="335"/>
      <c r="E7" s="336" t="s">
        <v>152</v>
      </c>
      <c r="F7" s="335"/>
      <c r="G7" s="337"/>
      <c r="H7" s="337"/>
      <c r="I7" s="329" t="s">
        <v>150</v>
      </c>
      <c r="J7" s="330"/>
      <c r="K7" s="325" t="s">
        <v>150</v>
      </c>
      <c r="L7" s="335"/>
      <c r="M7" s="331" t="s">
        <v>150</v>
      </c>
      <c r="N7" s="330"/>
      <c r="O7" s="311"/>
      <c r="P7" s="323" t="s">
        <v>152</v>
      </c>
      <c r="Q7" s="313"/>
    </row>
    <row r="8" spans="1:19" ht="9.75" customHeight="1">
      <c r="A8" s="324" t="s">
        <v>180</v>
      </c>
      <c r="B8" s="315" t="str">
        <f>'12.lan'!D272</f>
        <v>Cb - Produktion von Textilien, Kleidung, Leder und Produkten hieraus (C13,C14,C15)</v>
      </c>
      <c r="C8" s="325"/>
      <c r="D8" s="335"/>
      <c r="E8" s="336" t="s">
        <v>152</v>
      </c>
      <c r="F8" s="335"/>
      <c r="G8" s="337"/>
      <c r="H8" s="337"/>
      <c r="I8" s="329" t="s">
        <v>150</v>
      </c>
      <c r="J8" s="330"/>
      <c r="K8" s="325" t="s">
        <v>151</v>
      </c>
      <c r="L8" s="335"/>
      <c r="M8" s="331" t="s">
        <v>150</v>
      </c>
      <c r="N8" s="330"/>
      <c r="O8" s="311"/>
      <c r="P8" s="323" t="s">
        <v>152</v>
      </c>
      <c r="Q8" s="313"/>
    </row>
    <row r="9" spans="1:19" ht="9.75" customHeight="1">
      <c r="A9" s="324" t="s">
        <v>181</v>
      </c>
      <c r="B9" s="315" t="str">
        <f>'12.lan'!D273</f>
        <v>Cc - Produktion von Holz- und Papierprodukten sowie Drucksorten (C16,C17,C18)</v>
      </c>
      <c r="C9" s="325"/>
      <c r="D9" s="335"/>
      <c r="E9" s="336" t="s">
        <v>151</v>
      </c>
      <c r="F9" s="335"/>
      <c r="G9" s="337"/>
      <c r="H9" s="337"/>
      <c r="I9" s="329" t="s">
        <v>150</v>
      </c>
      <c r="J9" s="330"/>
      <c r="K9" s="325" t="s">
        <v>151</v>
      </c>
      <c r="L9" s="335"/>
      <c r="M9" s="331" t="s">
        <v>150</v>
      </c>
      <c r="N9" s="330"/>
      <c r="O9" s="311"/>
      <c r="P9" s="323" t="s">
        <v>152</v>
      </c>
      <c r="Q9" s="313"/>
    </row>
    <row r="10" spans="1:19" ht="9.75" customHeight="1">
      <c r="A10" s="324" t="s">
        <v>182</v>
      </c>
      <c r="B10" s="315" t="str">
        <f>'12.lan'!D274</f>
        <v>Cd - Produktion von petrochemischen Produkte und Kunststoffen (C19, C20;C22)</v>
      </c>
      <c r="C10" s="325"/>
      <c r="D10" s="335"/>
      <c r="E10" s="336" t="s">
        <v>152</v>
      </c>
      <c r="F10" s="335"/>
      <c r="G10" s="337"/>
      <c r="H10" s="337"/>
      <c r="I10" s="329" t="s">
        <v>150</v>
      </c>
      <c r="J10" s="330"/>
      <c r="K10" s="325" t="s">
        <v>151</v>
      </c>
      <c r="L10" s="335"/>
      <c r="M10" s="331" t="s">
        <v>151</v>
      </c>
      <c r="N10" s="330"/>
      <c r="O10" s="311"/>
      <c r="P10" s="323" t="s">
        <v>152</v>
      </c>
      <c r="Q10" s="313"/>
    </row>
    <row r="11" spans="1:19" ht="20.100000000000001" customHeight="1">
      <c r="A11" s="324" t="s">
        <v>183</v>
      </c>
      <c r="B11" s="315" t="str">
        <f>'12.lan'!D275</f>
        <v>Ce - Produktion von pharmazeutischen Produktion und Präparaten (C21)</v>
      </c>
      <c r="C11" s="325"/>
      <c r="D11" s="335"/>
      <c r="E11" s="336" t="s">
        <v>150</v>
      </c>
      <c r="F11" s="335"/>
      <c r="G11" s="337"/>
      <c r="H11" s="337"/>
      <c r="I11" s="329" t="s">
        <v>151</v>
      </c>
      <c r="J11" s="338" t="s">
        <v>184</v>
      </c>
      <c r="K11" s="325" t="s">
        <v>151</v>
      </c>
      <c r="L11" s="335"/>
      <c r="M11" s="331" t="s">
        <v>151</v>
      </c>
      <c r="N11" s="330"/>
      <c r="O11" s="311"/>
      <c r="P11" s="323" t="s">
        <v>151</v>
      </c>
      <c r="Q11" s="313"/>
    </row>
    <row r="12" spans="1:19" ht="9.75" customHeight="1">
      <c r="A12" s="324" t="s">
        <v>185</v>
      </c>
      <c r="B12" s="315" t="str">
        <f>'12.lan'!D276</f>
        <v>Cf - Produktion nicht metallischer Mineralstoffe (C23)</v>
      </c>
      <c r="C12" s="325"/>
      <c r="D12" s="335"/>
      <c r="E12" s="336" t="s">
        <v>151</v>
      </c>
      <c r="F12" s="335"/>
      <c r="G12" s="337"/>
      <c r="H12" s="337"/>
      <c r="I12" s="329" t="s">
        <v>150</v>
      </c>
      <c r="J12" s="338"/>
      <c r="K12" s="325" t="s">
        <v>151</v>
      </c>
      <c r="L12" s="335"/>
      <c r="M12" s="331" t="s">
        <v>151</v>
      </c>
      <c r="N12" s="330"/>
      <c r="O12" s="311"/>
      <c r="P12" s="323" t="s">
        <v>151</v>
      </c>
      <c r="Q12" s="313"/>
    </row>
    <row r="13" spans="1:19" ht="9.75" customHeight="1">
      <c r="A13" s="324" t="s">
        <v>186</v>
      </c>
      <c r="B13" s="315" t="str">
        <f>'12.lan'!D277</f>
        <v>Cg - Produktion von Metallen und metallischen Produkten (exkl. Maschinen und Geräten) (C24,C25)</v>
      </c>
      <c r="C13" s="325"/>
      <c r="D13" s="335"/>
      <c r="E13" s="336" t="s">
        <v>152</v>
      </c>
      <c r="F13" s="335"/>
      <c r="G13" s="337"/>
      <c r="H13" s="337"/>
      <c r="I13" s="329" t="s">
        <v>150</v>
      </c>
      <c r="J13" s="338"/>
      <c r="K13" s="325" t="s">
        <v>151</v>
      </c>
      <c r="L13" s="335"/>
      <c r="M13" s="331" t="s">
        <v>151</v>
      </c>
      <c r="N13" s="330"/>
      <c r="O13" s="311"/>
      <c r="P13" s="323" t="s">
        <v>152</v>
      </c>
      <c r="Q13" s="313"/>
    </row>
    <row r="14" spans="1:19" ht="9.75" customHeight="1">
      <c r="A14" s="324" t="s">
        <v>187</v>
      </c>
      <c r="B14" s="315" t="str">
        <f>'12.lan'!D278</f>
        <v>Ch - Produktion von elektronischen, optischen und sonstigen Geräten und Bauteilen sowie Computer (C26,C27,C28)</v>
      </c>
      <c r="C14" s="325"/>
      <c r="D14" s="335"/>
      <c r="E14" s="336" t="s">
        <v>152</v>
      </c>
      <c r="F14" s="335"/>
      <c r="G14" s="337"/>
      <c r="H14" s="337"/>
      <c r="I14" s="329" t="s">
        <v>151</v>
      </c>
      <c r="J14" s="338"/>
      <c r="K14" s="325" t="s">
        <v>151</v>
      </c>
      <c r="L14" s="335"/>
      <c r="M14" s="331" t="s">
        <v>151</v>
      </c>
      <c r="N14" s="330"/>
      <c r="O14" s="311"/>
      <c r="P14" s="323" t="s">
        <v>152</v>
      </c>
      <c r="Q14" s="313"/>
    </row>
    <row r="15" spans="1:19" ht="20.100000000000001" customHeight="1">
      <c r="A15" s="324" t="s">
        <v>188</v>
      </c>
      <c r="B15" s="315" t="str">
        <f>'12.lan'!D279</f>
        <v xml:space="preserve">D - Strom-, Gas-, Dampfversorgung und Kühlung </v>
      </c>
      <c r="C15" s="325"/>
      <c r="D15" s="339"/>
      <c r="E15" s="340" t="s">
        <v>150</v>
      </c>
      <c r="F15" s="341"/>
      <c r="G15" s="342"/>
      <c r="H15" s="342"/>
      <c r="I15" s="329" t="s">
        <v>150</v>
      </c>
      <c r="J15" s="330"/>
      <c r="K15" s="325" t="s">
        <v>152</v>
      </c>
      <c r="L15" s="339" t="s">
        <v>189</v>
      </c>
      <c r="M15" s="331" t="s">
        <v>151</v>
      </c>
      <c r="N15" s="330"/>
      <c r="O15" s="311"/>
      <c r="P15" s="323" t="s">
        <v>152</v>
      </c>
      <c r="Q15" s="313"/>
    </row>
    <row r="16" spans="1:19" ht="20.100000000000001" customHeight="1">
      <c r="A16" s="324" t="s">
        <v>190</v>
      </c>
      <c r="B16" s="315" t="str">
        <f>'12.lan'!D280</f>
        <v>E - Wasserversorgung, Abfallwirtschaft</v>
      </c>
      <c r="C16" s="325"/>
      <c r="D16" s="326"/>
      <c r="E16" s="327" t="s">
        <v>150</v>
      </c>
      <c r="F16" s="326"/>
      <c r="G16" s="328"/>
      <c r="H16" s="328"/>
      <c r="I16" s="329" t="s">
        <v>151</v>
      </c>
      <c r="J16" s="330"/>
      <c r="K16" s="325" t="s">
        <v>151</v>
      </c>
      <c r="L16" s="326"/>
      <c r="M16" s="331" t="s">
        <v>151</v>
      </c>
      <c r="N16" s="330"/>
      <c r="O16" s="311"/>
      <c r="P16" s="323" t="s">
        <v>150</v>
      </c>
      <c r="Q16" s="313"/>
    </row>
    <row r="17" spans="1:17" ht="39.75" customHeight="1">
      <c r="A17" s="324" t="s">
        <v>191</v>
      </c>
      <c r="B17" s="315" t="str">
        <f>'12.lan'!D281</f>
        <v>F - Baugewerbe</v>
      </c>
      <c r="C17" s="325"/>
      <c r="D17" s="326"/>
      <c r="E17" s="327" t="s">
        <v>152</v>
      </c>
      <c r="F17" s="326"/>
      <c r="G17" s="328"/>
      <c r="H17" s="328"/>
      <c r="I17" s="329" t="s">
        <v>152</v>
      </c>
      <c r="J17" s="330"/>
      <c r="K17" s="325" t="s">
        <v>152</v>
      </c>
      <c r="L17" s="326" t="s">
        <v>192</v>
      </c>
      <c r="M17" s="331" t="s">
        <v>152</v>
      </c>
      <c r="N17" s="330"/>
      <c r="O17" s="311"/>
      <c r="P17" s="323" t="s">
        <v>152</v>
      </c>
      <c r="Q17" s="313"/>
    </row>
    <row r="18" spans="1:17" ht="9.75" customHeight="1">
      <c r="A18" s="324" t="s">
        <v>193</v>
      </c>
      <c r="B18" s="315" t="str">
        <f>'12.lan'!D282</f>
        <v>G - Groß- und Einzelhandel sowie Werkstätten für Kraftfahrzeuge (Anmerkung: Groß- und Einzelhandel nicht auf KFZ beschränkt)</v>
      </c>
      <c r="C18" s="325"/>
      <c r="D18" s="326"/>
      <c r="E18" s="327" t="s">
        <v>150</v>
      </c>
      <c r="F18" s="326"/>
      <c r="G18" s="328"/>
      <c r="H18" s="328"/>
      <c r="I18" s="329" t="s">
        <v>152</v>
      </c>
      <c r="J18" s="330"/>
      <c r="K18" s="325" t="s">
        <v>150</v>
      </c>
      <c r="L18" s="326"/>
      <c r="M18" s="331" t="s">
        <v>150</v>
      </c>
      <c r="N18" s="330"/>
      <c r="O18" s="311"/>
      <c r="P18" s="323" t="s">
        <v>151</v>
      </c>
      <c r="Q18" s="313"/>
    </row>
    <row r="19" spans="1:17" ht="9.75" customHeight="1">
      <c r="A19" s="324" t="s">
        <v>194</v>
      </c>
      <c r="B19" s="315" t="str">
        <f>'12.lan'!D283</f>
        <v>H - Verkehr und Lagerhaltung</v>
      </c>
      <c r="C19" s="325"/>
      <c r="D19" s="326"/>
      <c r="E19" s="327" t="s">
        <v>150</v>
      </c>
      <c r="F19" s="326"/>
      <c r="G19" s="328"/>
      <c r="H19" s="328"/>
      <c r="I19" s="329" t="s">
        <v>150</v>
      </c>
      <c r="J19" s="330"/>
      <c r="K19" s="325" t="s">
        <v>152</v>
      </c>
      <c r="L19" s="326"/>
      <c r="M19" s="331" t="s">
        <v>150</v>
      </c>
      <c r="N19" s="330"/>
      <c r="O19" s="311"/>
      <c r="P19" s="323" t="s">
        <v>151</v>
      </c>
      <c r="Q19" s="313"/>
    </row>
    <row r="20" spans="1:17" ht="9.75" customHeight="1">
      <c r="A20" s="324" t="s">
        <v>195</v>
      </c>
      <c r="B20" s="315" t="str">
        <f>'12.lan'!D284</f>
        <v>I - Beherbergung und Gastronomie</v>
      </c>
      <c r="C20" s="325"/>
      <c r="D20" s="326"/>
      <c r="E20" s="327" t="s">
        <v>151</v>
      </c>
      <c r="F20" s="326"/>
      <c r="G20" s="328"/>
      <c r="H20" s="328"/>
      <c r="I20" s="329" t="s">
        <v>150</v>
      </c>
      <c r="J20" s="330"/>
      <c r="K20" s="325" t="s">
        <v>151</v>
      </c>
      <c r="L20" s="326"/>
      <c r="M20" s="331" t="s">
        <v>150</v>
      </c>
      <c r="N20" s="330"/>
      <c r="O20" s="311"/>
      <c r="P20" s="323" t="s">
        <v>151</v>
      </c>
      <c r="Q20" s="313"/>
    </row>
    <row r="21" spans="1:17" ht="9.75" customHeight="1">
      <c r="A21" s="324" t="s">
        <v>196</v>
      </c>
      <c r="B21" s="315" t="str">
        <f>'12.lan'!D285</f>
        <v>J - Information und Kommunikation</v>
      </c>
      <c r="C21" s="325"/>
      <c r="D21" s="326"/>
      <c r="E21" s="327" t="s">
        <v>150</v>
      </c>
      <c r="F21" s="326"/>
      <c r="G21" s="328"/>
      <c r="H21" s="328"/>
      <c r="I21" s="329" t="s">
        <v>150</v>
      </c>
      <c r="J21" s="330"/>
      <c r="K21" s="325" t="s">
        <v>151</v>
      </c>
      <c r="L21" s="326"/>
      <c r="M21" s="331" t="s">
        <v>150</v>
      </c>
      <c r="N21" s="330"/>
      <c r="O21" s="311"/>
      <c r="P21" s="323" t="s">
        <v>151</v>
      </c>
      <c r="Q21" s="313"/>
    </row>
    <row r="22" spans="1:17" ht="9.75" customHeight="1">
      <c r="A22" s="324" t="s">
        <v>197</v>
      </c>
      <c r="B22" s="315" t="str">
        <f>'12.lan'!D286</f>
        <v>K - Kredit- und Finanzwesen</v>
      </c>
      <c r="C22" s="325"/>
      <c r="D22" s="326"/>
      <c r="E22" s="327" t="s">
        <v>150</v>
      </c>
      <c r="F22" s="326"/>
      <c r="G22" s="328"/>
      <c r="H22" s="328"/>
      <c r="I22" s="329" t="s">
        <v>152</v>
      </c>
      <c r="J22" s="330"/>
      <c r="K22" s="325" t="s">
        <v>150</v>
      </c>
      <c r="L22" s="326"/>
      <c r="M22" s="331" t="s">
        <v>150</v>
      </c>
      <c r="N22" s="330"/>
      <c r="O22" s="311"/>
      <c r="P22" s="323" t="s">
        <v>150</v>
      </c>
      <c r="Q22" s="313"/>
    </row>
    <row r="23" spans="1:17" ht="9.75" customHeight="1">
      <c r="A23" s="324" t="s">
        <v>198</v>
      </c>
      <c r="B23" s="315" t="str">
        <f>'12.lan'!D287</f>
        <v>L - (Immobilienwirtschaft</v>
      </c>
      <c r="C23" s="325"/>
      <c r="D23" s="326"/>
      <c r="E23" s="327" t="s">
        <v>150</v>
      </c>
      <c r="F23" s="326"/>
      <c r="G23" s="328"/>
      <c r="H23" s="328"/>
      <c r="I23" s="329" t="s">
        <v>152</v>
      </c>
      <c r="J23" s="330"/>
      <c r="K23" s="325" t="s">
        <v>150</v>
      </c>
      <c r="L23" s="326"/>
      <c r="M23" s="331" t="s">
        <v>150</v>
      </c>
      <c r="N23" s="330"/>
      <c r="O23" s="311"/>
      <c r="P23" s="323" t="s">
        <v>151</v>
      </c>
      <c r="Q23" s="313"/>
    </row>
    <row r="24" spans="1:17" ht="9.75" customHeight="1">
      <c r="A24" s="324" t="s">
        <v>199</v>
      </c>
      <c r="B24" s="315" t="str">
        <f>'12.lan'!D288</f>
        <v>M - Freiberufliche, wissenschaftliche und technische Dienstleistungen</v>
      </c>
      <c r="C24" s="325"/>
      <c r="D24" s="326"/>
      <c r="E24" s="327" t="s">
        <v>150</v>
      </c>
      <c r="F24" s="326"/>
      <c r="G24" s="328"/>
      <c r="H24" s="328"/>
      <c r="I24" s="329" t="s">
        <v>150</v>
      </c>
      <c r="J24" s="330"/>
      <c r="K24" s="325" t="s">
        <v>150</v>
      </c>
      <c r="L24" s="326"/>
      <c r="M24" s="331" t="s">
        <v>150</v>
      </c>
      <c r="N24" s="330"/>
      <c r="O24" s="311"/>
      <c r="P24" s="323" t="s">
        <v>150</v>
      </c>
      <c r="Q24" s="313"/>
    </row>
    <row r="25" spans="1:17" ht="9.75" customHeight="1">
      <c r="A25" s="324" t="s">
        <v>200</v>
      </c>
      <c r="B25" s="315" t="str">
        <f>'12.lan'!D289</f>
        <v>N - Administrative und unterstützende Dienstleistungen</v>
      </c>
      <c r="C25" s="325"/>
      <c r="D25" s="326"/>
      <c r="E25" s="327" t="s">
        <v>150</v>
      </c>
      <c r="F25" s="326"/>
      <c r="G25" s="328"/>
      <c r="H25" s="328"/>
      <c r="I25" s="329" t="s">
        <v>150</v>
      </c>
      <c r="J25" s="330"/>
      <c r="K25" s="325" t="s">
        <v>150</v>
      </c>
      <c r="L25" s="326"/>
      <c r="M25" s="331" t="s">
        <v>150</v>
      </c>
      <c r="N25" s="330"/>
      <c r="O25" s="311"/>
      <c r="P25" s="323" t="s">
        <v>150</v>
      </c>
      <c r="Q25" s="313"/>
    </row>
    <row r="26" spans="1:17" ht="11.25" customHeight="1">
      <c r="A26" s="324" t="s">
        <v>201</v>
      </c>
      <c r="B26" s="315" t="str">
        <f>'12.lan'!D290</f>
        <v>O - Öffentliche Verwaltung; Verteidigung; Sozialversicherungswesen</v>
      </c>
      <c r="C26" s="325"/>
      <c r="D26" s="326"/>
      <c r="E26" s="327" t="s">
        <v>150</v>
      </c>
      <c r="F26" s="326"/>
      <c r="G26" s="328"/>
      <c r="H26" s="328"/>
      <c r="I26" s="329" t="s">
        <v>150</v>
      </c>
      <c r="J26" s="330"/>
      <c r="K26" s="325" t="s">
        <v>150</v>
      </c>
      <c r="L26" s="326"/>
      <c r="M26" s="331" t="s">
        <v>150</v>
      </c>
      <c r="N26" s="330"/>
      <c r="O26" s="311"/>
      <c r="P26" s="323" t="s">
        <v>150</v>
      </c>
      <c r="Q26" s="313"/>
    </row>
    <row r="27" spans="1:17" ht="9.75" customHeight="1">
      <c r="A27" s="324" t="s">
        <v>202</v>
      </c>
      <c r="B27" s="315" t="str">
        <f>'12.lan'!D291</f>
        <v>P - Bildung</v>
      </c>
      <c r="C27" s="325"/>
      <c r="D27" s="326"/>
      <c r="E27" s="327" t="s">
        <v>150</v>
      </c>
      <c r="F27" s="326"/>
      <c r="G27" s="328"/>
      <c r="H27" s="328"/>
      <c r="I27" s="329" t="s">
        <v>150</v>
      </c>
      <c r="J27" s="330"/>
      <c r="K27" s="325" t="s">
        <v>150</v>
      </c>
      <c r="L27" s="326"/>
      <c r="M27" s="331" t="s">
        <v>150</v>
      </c>
      <c r="N27" s="330"/>
      <c r="O27" s="311"/>
      <c r="P27" s="323" t="s">
        <v>150</v>
      </c>
      <c r="Q27" s="313"/>
    </row>
    <row r="28" spans="1:17" ht="9.75" customHeight="1">
      <c r="A28" s="324" t="s">
        <v>203</v>
      </c>
      <c r="B28" s="315" t="str">
        <f>'12.lan'!D292</f>
        <v>Q - Gesundheit und Sozialarbeit</v>
      </c>
      <c r="C28" s="325"/>
      <c r="D28" s="326"/>
      <c r="E28" s="327" t="s">
        <v>150</v>
      </c>
      <c r="F28" s="326"/>
      <c r="G28" s="328"/>
      <c r="H28" s="328"/>
      <c r="I28" s="329" t="s">
        <v>150</v>
      </c>
      <c r="J28" s="330"/>
      <c r="K28" s="325" t="s">
        <v>150</v>
      </c>
      <c r="L28" s="326"/>
      <c r="M28" s="331" t="s">
        <v>150</v>
      </c>
      <c r="N28" s="330"/>
      <c r="O28" s="311"/>
      <c r="P28" s="323" t="s">
        <v>150</v>
      </c>
      <c r="Q28" s="313"/>
    </row>
    <row r="29" spans="1:17" ht="9.75" customHeight="1">
      <c r="A29" s="324" t="s">
        <v>204</v>
      </c>
      <c r="B29" s="315" t="str">
        <f>'12.lan'!D293</f>
        <v>R - Kunst, Unterhaltung und Erholung</v>
      </c>
      <c r="C29" s="325"/>
      <c r="D29" s="326"/>
      <c r="E29" s="327" t="s">
        <v>150</v>
      </c>
      <c r="F29" s="326"/>
      <c r="G29" s="328"/>
      <c r="H29" s="328"/>
      <c r="I29" s="329" t="s">
        <v>150</v>
      </c>
      <c r="J29" s="330"/>
      <c r="K29" s="325" t="s">
        <v>150</v>
      </c>
      <c r="L29" s="326"/>
      <c r="M29" s="331" t="s">
        <v>150</v>
      </c>
      <c r="N29" s="330"/>
      <c r="O29" s="311"/>
      <c r="P29" s="323" t="s">
        <v>150</v>
      </c>
      <c r="Q29" s="313"/>
    </row>
    <row r="30" spans="1:17" ht="9.75" customHeight="1">
      <c r="A30" s="324" t="s">
        <v>205</v>
      </c>
      <c r="B30" s="315" t="str">
        <f>'12.lan'!D294</f>
        <v>S - Andere Dienstleistungen</v>
      </c>
      <c r="C30" s="325"/>
      <c r="D30" s="326"/>
      <c r="E30" s="327" t="s">
        <v>150</v>
      </c>
      <c r="F30" s="326"/>
      <c r="G30" s="328"/>
      <c r="H30" s="328"/>
      <c r="I30" s="329" t="s">
        <v>150</v>
      </c>
      <c r="J30" s="330"/>
      <c r="K30" s="325" t="s">
        <v>150</v>
      </c>
      <c r="L30" s="326"/>
      <c r="M30" s="331" t="s">
        <v>150</v>
      </c>
      <c r="N30" s="330"/>
      <c r="O30" s="311"/>
      <c r="P30" s="323" t="s">
        <v>150</v>
      </c>
      <c r="Q30" s="313"/>
    </row>
    <row r="31" spans="1:17" ht="11.25" customHeight="1">
      <c r="A31" s="324" t="s">
        <v>206</v>
      </c>
      <c r="B31" s="315" t="str">
        <f>'12.lan'!D295</f>
        <v>T - Private Haushalte</v>
      </c>
      <c r="C31" s="325"/>
      <c r="D31" s="326"/>
      <c r="E31" s="327" t="s">
        <v>150</v>
      </c>
      <c r="F31" s="326"/>
      <c r="G31" s="328"/>
      <c r="H31" s="328"/>
      <c r="I31" s="329" t="s">
        <v>150</v>
      </c>
      <c r="J31" s="330"/>
      <c r="K31" s="325" t="s">
        <v>150</v>
      </c>
      <c r="L31" s="326"/>
      <c r="M31" s="331" t="s">
        <v>150</v>
      </c>
      <c r="N31" s="330"/>
      <c r="O31" s="343"/>
      <c r="P31" s="344" t="s">
        <v>150</v>
      </c>
      <c r="Q31" s="345"/>
    </row>
    <row r="32" spans="1:17" ht="12" customHeight="1">
      <c r="A32" s="346" t="s">
        <v>207</v>
      </c>
      <c r="B32" s="315" t="str">
        <f>'12.lan'!D296</f>
        <v>U - Exterritoriale Organisationen und Körperschaften</v>
      </c>
      <c r="C32" s="325"/>
      <c r="D32" s="326"/>
      <c r="E32" s="327" t="s">
        <v>150</v>
      </c>
      <c r="F32" s="326"/>
      <c r="G32" s="328"/>
      <c r="H32" s="328"/>
      <c r="I32" s="329" t="s">
        <v>150</v>
      </c>
      <c r="J32" s="330"/>
      <c r="K32" s="325" t="s">
        <v>150</v>
      </c>
      <c r="L32" s="326"/>
      <c r="M32" s="331" t="s">
        <v>150</v>
      </c>
      <c r="N32" s="330"/>
      <c r="O32" s="343"/>
      <c r="P32" s="344" t="s">
        <v>150</v>
      </c>
      <c r="Q32" s="345"/>
    </row>
    <row r="34" spans="1:12" ht="9.75" customHeight="1">
      <c r="A34" s="347" t="str">
        <f>'9. Weighting'!H35</f>
        <v>Bi</v>
      </c>
      <c r="B34" s="348" t="s">
        <v>208</v>
      </c>
      <c r="C34" s="349">
        <f>'9. Weighting'!I35</f>
        <v>0</v>
      </c>
      <c r="D34" s="348"/>
      <c r="E34" s="348"/>
      <c r="F34" s="348"/>
      <c r="G34" s="348"/>
      <c r="H34" s="348"/>
      <c r="I34" s="350" t="str">
        <f>IFERROR(VLOOKUP(A34,'10. Industry'!$A$4:$O$32,9,FALSE),"mittel")</f>
        <v>mittel</v>
      </c>
      <c r="J34" s="351">
        <f>VLOOKUP(I34,'9. Weighting'!$F$49:$H$53,3,FALSE)</f>
        <v>1</v>
      </c>
      <c r="K34" s="350" t="str">
        <f>IFERROR(VLOOKUP(A34,'10. Industry'!$A$4:$O$32,11,FALSE),"mittel")</f>
        <v>mittel</v>
      </c>
      <c r="L34" s="352">
        <f>VLOOKUP(K34,'9. Weighting'!$F$49:$H$53,3,FALSE)</f>
        <v>1</v>
      </c>
    </row>
    <row r="35" spans="1:12" ht="9.75" customHeight="1">
      <c r="A35" s="353" t="str">
        <f>'9. Weighting'!H36</f>
        <v>Bi</v>
      </c>
      <c r="B35" s="354" t="s">
        <v>209</v>
      </c>
      <c r="C35" s="355">
        <f>'9. Weighting'!I36</f>
        <v>0</v>
      </c>
      <c r="D35" s="354"/>
      <c r="E35" s="354"/>
      <c r="F35" s="354"/>
      <c r="G35" s="354"/>
      <c r="H35" s="354"/>
      <c r="I35" s="450" t="str">
        <f>IFERROR(VLOOKUP(A35,'10. Industry'!$A$4:$O$32,9,FALSE),"mittel")</f>
        <v>mittel</v>
      </c>
      <c r="J35" s="356">
        <f>VLOOKUP(I35,'9. Weighting'!$F$49:$H$53,3,FALSE)</f>
        <v>1</v>
      </c>
      <c r="K35" s="450" t="str">
        <f>IFERROR(VLOOKUP(A35,'10. Industry'!$A$4:$O$32,11,FALSE),"mittel")</f>
        <v>mittel</v>
      </c>
      <c r="L35" s="357">
        <f>VLOOKUP(K35,'9. Weighting'!$F$49:$H$53,3,FALSE)</f>
        <v>1</v>
      </c>
    </row>
    <row r="36" spans="1:12" ht="9.75" customHeight="1">
      <c r="A36" s="353" t="str">
        <f>'9. Weighting'!H37</f>
        <v>Bi</v>
      </c>
      <c r="B36" s="354" t="s">
        <v>210</v>
      </c>
      <c r="C36" s="355">
        <f>'9. Weighting'!I37</f>
        <v>0</v>
      </c>
      <c r="D36" s="354"/>
      <c r="E36" s="354"/>
      <c r="F36" s="354"/>
      <c r="G36" s="354"/>
      <c r="H36" s="354"/>
      <c r="I36" s="450" t="str">
        <f>IFERROR(VLOOKUP(A36,'10. Industry'!$A$4:$O$32,9,FALSE),"mittel")</f>
        <v>mittel</v>
      </c>
      <c r="J36" s="356">
        <f>VLOOKUP(I36,'9. Weighting'!$F$49:$H$53,3,FALSE)</f>
        <v>1</v>
      </c>
      <c r="K36" s="450" t="str">
        <f>IFERROR(VLOOKUP(A36,'10. Industry'!$A$4:$O$32,11,FALSE),"mittel")</f>
        <v>mittel</v>
      </c>
      <c r="L36" s="357">
        <f>VLOOKUP(K36,'9. Weighting'!$F$49:$H$53,3,FALSE)</f>
        <v>1</v>
      </c>
    </row>
    <row r="37" spans="1:12" ht="9.75" customHeight="1">
      <c r="A37" s="353"/>
      <c r="B37" s="354"/>
      <c r="C37" s="358">
        <f>1-SUM(C34:C36)</f>
        <v>1</v>
      </c>
      <c r="D37" s="354"/>
      <c r="E37" s="354"/>
      <c r="F37" s="354"/>
      <c r="G37" s="354"/>
      <c r="H37" s="354"/>
      <c r="I37" s="450" t="s">
        <v>150</v>
      </c>
      <c r="J37" s="356">
        <f>VLOOKUP(I37,'9. Weighting'!$F$49:$H$53,3,FALSE)</f>
        <v>1</v>
      </c>
      <c r="K37" s="450" t="s">
        <v>150</v>
      </c>
      <c r="L37" s="357">
        <f>VLOOKUP(K37,'9. Weighting'!$F$49:$H$53,3,FALSE)</f>
        <v>1</v>
      </c>
    </row>
    <row r="38" spans="1:12" ht="9.75" customHeight="1">
      <c r="A38" s="353"/>
      <c r="B38" s="354"/>
      <c r="C38" s="358">
        <f>SUM(C34:C37)</f>
        <v>1</v>
      </c>
      <c r="D38" s="354"/>
      <c r="E38" s="354"/>
      <c r="F38" s="354"/>
      <c r="G38" s="354"/>
      <c r="H38" s="354"/>
      <c r="I38" s="450"/>
      <c r="J38" s="356">
        <f>C34*J34+C35*J35+C36*J36+C37*J37</f>
        <v>1</v>
      </c>
      <c r="K38" s="450"/>
      <c r="L38" s="357">
        <f>C34*L34+C35*L35+C36*L36+C37*L37</f>
        <v>1</v>
      </c>
    </row>
    <row r="39" spans="1:12" ht="9.75" customHeight="1">
      <c r="A39" s="359"/>
      <c r="B39" s="360" t="s">
        <v>211</v>
      </c>
      <c r="C39" s="361"/>
      <c r="D39" s="362"/>
      <c r="E39" s="362"/>
      <c r="F39" s="362"/>
      <c r="G39" s="362"/>
      <c r="H39" s="362"/>
      <c r="I39" s="361"/>
      <c r="J39" s="362" t="str">
        <f>IF(J38&lt;0.75,"niedrig",IF(J38&lt;1.25,"mittel",IF(J38&gt;1.75,"sehr hoch","hoch")))</f>
        <v>mittel</v>
      </c>
      <c r="K39" s="361"/>
      <c r="L39" s="363" t="str">
        <f>IF(L38&lt;0.75,"niedrig",IF(L38&lt;1.25,"mittel",IF(L38&gt;1.75,"sehr hoch","hoch")))</f>
        <v>mittel</v>
      </c>
    </row>
  </sheetData>
  <sheetProtection algorithmName="SHA-512" hashValue="ETT213pX5aqgYs9j9MkkfvswWL7gJv81QVBFhF9vHUI86cDFCTyKi2xJTH3U2ITlzgAxX/WKdv9baKy3kLdjdg==" saltValue="CTi/ebunl7fCrrhv+4w0Og==" spinCount="100000" sheet="1" selectLockedCells="1" selectUnlockedCells="1"/>
  <mergeCells count="9">
    <mergeCell ref="R2:S2"/>
    <mergeCell ref="A1:Q1"/>
    <mergeCell ref="C2:D2"/>
    <mergeCell ref="E2:F2"/>
    <mergeCell ref="G2:H2"/>
    <mergeCell ref="I2:J2"/>
    <mergeCell ref="K2:L2"/>
    <mergeCell ref="M2:N2"/>
    <mergeCell ref="O2:Q2"/>
  </mergeCells>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Q293"/>
  <sheetViews>
    <sheetView topLeftCell="A5" zoomScale="75" zoomScaleNormal="75" workbookViewId="0">
      <pane ySplit="1125" topLeftCell="A229" activePane="bottomLeft"/>
      <selection activeCell="A5" sqref="A1:XFD1048576"/>
      <selection pane="bottomLeft" activeCell="H241" sqref="H241"/>
    </sheetView>
  </sheetViews>
  <sheetFormatPr baseColWidth="10" defaultColWidth="10.28515625" defaultRowHeight="9.75" customHeight="1"/>
  <cols>
    <col min="1" max="1" width="18" style="364" customWidth="1"/>
    <col min="2" max="3" width="16.28515625" style="365" customWidth="1"/>
    <col min="4" max="4" width="19.28515625" style="365" customWidth="1"/>
    <col min="5" max="5" width="22.28515625" style="365" customWidth="1"/>
    <col min="6" max="6" width="20.28515625" style="365" customWidth="1"/>
    <col min="7" max="7" width="10.28515625" style="365" customWidth="1"/>
    <col min="8" max="9" width="10.28515625" style="364" customWidth="1"/>
    <col min="10" max="10" width="10.85546875" style="364" customWidth="1"/>
    <col min="11" max="16384" width="10.28515625" style="364"/>
  </cols>
  <sheetData>
    <row r="1" spans="1:17" ht="27" customHeight="1">
      <c r="A1" s="635" t="s">
        <v>212</v>
      </c>
      <c r="B1" s="635"/>
      <c r="C1" s="635"/>
      <c r="D1" s="635"/>
      <c r="E1" s="635"/>
      <c r="F1" s="635"/>
      <c r="G1" s="635"/>
    </row>
    <row r="2" spans="1:17" ht="34.5" customHeight="1">
      <c r="A2" s="366"/>
      <c r="B2" s="367" t="s">
        <v>213</v>
      </c>
      <c r="C2" s="368" t="s">
        <v>214</v>
      </c>
      <c r="D2" s="368" t="s">
        <v>215</v>
      </c>
      <c r="E2" s="367" t="s">
        <v>216</v>
      </c>
      <c r="F2" s="367" t="s">
        <v>217</v>
      </c>
      <c r="G2" s="367" t="s">
        <v>218</v>
      </c>
      <c r="H2" s="369" t="s">
        <v>219</v>
      </c>
      <c r="I2" s="370" t="s">
        <v>220</v>
      </c>
      <c r="J2" s="371" t="s">
        <v>111</v>
      </c>
      <c r="K2" s="372" t="s">
        <v>221</v>
      </c>
      <c r="L2" s="636" t="s">
        <v>222</v>
      </c>
      <c r="M2" s="636"/>
      <c r="N2" s="636"/>
      <c r="O2" s="637" t="s">
        <v>223</v>
      </c>
      <c r="P2" s="637"/>
      <c r="Q2" s="637"/>
    </row>
    <row r="3" spans="1:17" ht="9.75" customHeight="1">
      <c r="A3" s="366" t="s">
        <v>224</v>
      </c>
      <c r="B3" s="638">
        <f>'9. Weighting'!I10</f>
        <v>0</v>
      </c>
      <c r="C3" s="373">
        <f>'9. Weighting'!I13</f>
        <v>0</v>
      </c>
      <c r="D3" s="374" t="str">
        <f>'9. Weighting'!H13</f>
        <v>Bitte Auswählen</v>
      </c>
      <c r="E3" s="375">
        <f t="shared" ref="E3:E8" si="0">IFERROR(VLOOKUP(D3,$A$22:$G$400,3,FALSE),$C$243)</f>
        <v>0.97803586258736475</v>
      </c>
      <c r="F3" s="376">
        <f t="shared" ref="F3:F8" si="1">IFERROR(C3*E3,"0")</f>
        <v>0</v>
      </c>
      <c r="G3" s="639">
        <f>SUM(F3:F8)</f>
        <v>0</v>
      </c>
      <c r="H3" s="378" t="str">
        <f t="shared" ref="H3:H8" si="2">IFERROR(F3/$G$3,"-")</f>
        <v>-</v>
      </c>
      <c r="I3" s="364">
        <f t="shared" ref="I3:I8" si="3">IFERROR(VLOOKUP(D3,$A$21:$I$134,6,FALSE),2.99)</f>
        <v>2.99</v>
      </c>
      <c r="J3" s="379" t="str">
        <f>'9. Weighting'!E13</f>
        <v>Bi</v>
      </c>
      <c r="K3" s="380" t="str">
        <f>'9. Weighting'!G13</f>
        <v>bitte einfügen</v>
      </c>
      <c r="L3" s="380">
        <f>IFERROR(VLOOKUP(J3,'10. Industry'!$A$4:$P$32,16,FALSE),'3. Calc'!C83)</f>
        <v>1</v>
      </c>
      <c r="M3" s="380" t="e">
        <f>VLOOKUP(L3,'9. Weighting'!$F$49:$H$53,3,FALSE)</f>
        <v>#N/A</v>
      </c>
      <c r="N3" s="381" t="e">
        <f>M3*H3</f>
        <v>#N/A</v>
      </c>
      <c r="O3" s="380">
        <f>IFERROR(VLOOKUP(J3,'10. Industry'!$A$4:$N$32,5,FALSE),'3. Calc'!C83)</f>
        <v>1</v>
      </c>
      <c r="P3" s="380" t="e">
        <f>VLOOKUP(O3,'9. Weighting'!$F$49:$H$53,3,FALSE)</f>
        <v>#N/A</v>
      </c>
      <c r="Q3" s="382" t="e">
        <f>P3*H3</f>
        <v>#N/A</v>
      </c>
    </row>
    <row r="4" spans="1:17" ht="9.75" customHeight="1">
      <c r="A4" s="366" t="s">
        <v>225</v>
      </c>
      <c r="B4" s="638"/>
      <c r="C4" s="373">
        <f>'9. Weighting'!I14</f>
        <v>0</v>
      </c>
      <c r="D4" s="374" t="str">
        <f>'9. Weighting'!H14</f>
        <v>Bitte Auswählen</v>
      </c>
      <c r="E4" s="375">
        <f t="shared" si="0"/>
        <v>0.97803586258736475</v>
      </c>
      <c r="F4" s="376">
        <f t="shared" si="1"/>
        <v>0</v>
      </c>
      <c r="G4" s="639"/>
      <c r="H4" s="378" t="str">
        <f t="shared" si="2"/>
        <v>-</v>
      </c>
      <c r="I4" s="364">
        <f t="shared" si="3"/>
        <v>2.99</v>
      </c>
      <c r="J4" s="379" t="str">
        <f>'9. Weighting'!E14</f>
        <v>Bi</v>
      </c>
      <c r="K4" s="380" t="str">
        <f>'9. Weighting'!G14</f>
        <v>bitte einfügen</v>
      </c>
      <c r="L4" s="380">
        <f>IFERROR(VLOOKUP(J4,'10. Industry'!$A$4:$P$32,16,FALSE),'3. Calc'!C83)</f>
        <v>1</v>
      </c>
      <c r="M4" s="380" t="e">
        <f>VLOOKUP(L4,'9. Weighting'!$F$49:$H$53,3,FALSE)</f>
        <v>#N/A</v>
      </c>
      <c r="N4" s="381" t="e">
        <f>M4*H4</f>
        <v>#N/A</v>
      </c>
      <c r="O4" s="380">
        <f>IFERROR(VLOOKUP(J4,'10. Industry'!$A$4:$N$32,5,FALSE),'3. Calc'!C83)</f>
        <v>1</v>
      </c>
      <c r="P4" s="380" t="e">
        <f>VLOOKUP(O4,'9. Weighting'!$F$49:$H$53,3,FALSE)</f>
        <v>#N/A</v>
      </c>
      <c r="Q4" s="382" t="e">
        <f>P4*H4</f>
        <v>#N/A</v>
      </c>
    </row>
    <row r="5" spans="1:17" ht="9.75" customHeight="1">
      <c r="A5" s="366" t="s">
        <v>226</v>
      </c>
      <c r="B5" s="638"/>
      <c r="C5" s="373">
        <f>'9. Weighting'!I15</f>
        <v>0</v>
      </c>
      <c r="D5" s="374" t="str">
        <f>'9. Weighting'!H15</f>
        <v>Bitte Auswählen</v>
      </c>
      <c r="E5" s="375">
        <f t="shared" si="0"/>
        <v>0.97803586258736475</v>
      </c>
      <c r="F5" s="376">
        <f t="shared" si="1"/>
        <v>0</v>
      </c>
      <c r="G5" s="639"/>
      <c r="H5" s="378" t="str">
        <f t="shared" si="2"/>
        <v>-</v>
      </c>
      <c r="I5" s="364">
        <f t="shared" si="3"/>
        <v>2.99</v>
      </c>
      <c r="J5" s="379" t="str">
        <f>'9. Weighting'!E15</f>
        <v>Bi</v>
      </c>
      <c r="K5" s="380" t="str">
        <f>'9. Weighting'!G15</f>
        <v>bitte einfügen</v>
      </c>
      <c r="L5" s="380">
        <f>IFERROR(VLOOKUP(J5,'10. Industry'!$A$4:$P$32,16,FALSE),'3. Calc'!C83)</f>
        <v>1</v>
      </c>
      <c r="M5" s="380" t="e">
        <f>VLOOKUP(L5,'9. Weighting'!$F$49:$H$53,3,FALSE)</f>
        <v>#N/A</v>
      </c>
      <c r="N5" s="381" t="e">
        <f>M5*H5</f>
        <v>#N/A</v>
      </c>
      <c r="O5" s="380">
        <f>IFERROR(VLOOKUP(J5,'10. Industry'!$A$4:$N$32,5,FALSE),'3. Calc'!C83)</f>
        <v>1</v>
      </c>
      <c r="P5" s="380" t="e">
        <f>VLOOKUP(O5,'9. Weighting'!$F$49:$H$53,3,FALSE)</f>
        <v>#N/A</v>
      </c>
      <c r="Q5" s="382" t="e">
        <f>P5*H5</f>
        <v>#N/A</v>
      </c>
    </row>
    <row r="6" spans="1:17" ht="9.75" customHeight="1">
      <c r="A6" s="366" t="s">
        <v>227</v>
      </c>
      <c r="B6" s="638"/>
      <c r="C6" s="373">
        <f>'9. Weighting'!I16</f>
        <v>0</v>
      </c>
      <c r="D6" s="374" t="str">
        <f>'9. Weighting'!H16</f>
        <v>Bitte Auswählen</v>
      </c>
      <c r="E6" s="375">
        <f t="shared" si="0"/>
        <v>0.97803586258736475</v>
      </c>
      <c r="F6" s="376">
        <f t="shared" si="1"/>
        <v>0</v>
      </c>
      <c r="G6" s="639"/>
      <c r="H6" s="378" t="str">
        <f t="shared" si="2"/>
        <v>-</v>
      </c>
      <c r="I6" s="364">
        <f t="shared" si="3"/>
        <v>2.99</v>
      </c>
      <c r="J6" s="379" t="str">
        <f>'9. Weighting'!E16</f>
        <v>Bi</v>
      </c>
      <c r="K6" s="380" t="str">
        <f>'9. Weighting'!G16</f>
        <v>bitte einfügen</v>
      </c>
      <c r="L6" s="380">
        <f>IFERROR(VLOOKUP(J6,'10. Industry'!$A$4:$P$32,16,FALSE),'3. Calc'!C83)</f>
        <v>1</v>
      </c>
      <c r="M6" s="380" t="e">
        <f>VLOOKUP(L6,'9. Weighting'!$F$49:$H$53,3,FALSE)</f>
        <v>#N/A</v>
      </c>
      <c r="N6" s="381" t="e">
        <f>M6*H6</f>
        <v>#N/A</v>
      </c>
      <c r="O6" s="380">
        <f>IFERROR(VLOOKUP(J6,'10. Industry'!$A$4:$N$32,5,FALSE),'3. Calc'!C83)</f>
        <v>1</v>
      </c>
      <c r="P6" s="380" t="e">
        <f>VLOOKUP(O6,'9. Weighting'!$F$49:$H$53,3,FALSE)</f>
        <v>#N/A</v>
      </c>
      <c r="Q6" s="382" t="e">
        <f>P6*H6</f>
        <v>#N/A</v>
      </c>
    </row>
    <row r="7" spans="1:17" ht="12" customHeight="1">
      <c r="A7" s="366" t="s">
        <v>228</v>
      </c>
      <c r="B7" s="638"/>
      <c r="C7" s="373">
        <f>'9. Weighting'!I17</f>
        <v>0</v>
      </c>
      <c r="D7" s="374" t="str">
        <f>'9. Weighting'!H17</f>
        <v>Bitte Auswählen</v>
      </c>
      <c r="E7" s="375">
        <f t="shared" si="0"/>
        <v>0.97803586258736475</v>
      </c>
      <c r="F7" s="376">
        <f t="shared" si="1"/>
        <v>0</v>
      </c>
      <c r="G7" s="639"/>
      <c r="H7" s="378" t="str">
        <f t="shared" si="2"/>
        <v>-</v>
      </c>
      <c r="I7" s="364">
        <f t="shared" si="3"/>
        <v>2.99</v>
      </c>
      <c r="J7" s="379" t="str">
        <f>'9. Weighting'!E17</f>
        <v>Bi</v>
      </c>
      <c r="K7" s="380" t="str">
        <f>'9. Weighting'!G17</f>
        <v>bitte einfügen</v>
      </c>
      <c r="L7" s="380">
        <f>IFERROR(VLOOKUP(J7,'10. Industry'!$A$4:$P$32,16,FALSE),'3. Calc'!C83)</f>
        <v>1</v>
      </c>
      <c r="M7" s="380" t="e">
        <f>VLOOKUP(L7,'9. Weighting'!$F$49:$H$53,3,FALSE)</f>
        <v>#N/A</v>
      </c>
      <c r="N7" s="381" t="e">
        <f>M7*H7</f>
        <v>#N/A</v>
      </c>
      <c r="O7" s="380">
        <f>IFERROR(VLOOKUP(J7,'10. Industry'!$A$4:$N$32,5,FALSE),'3. Calc'!C83)</f>
        <v>1</v>
      </c>
      <c r="P7" s="380" t="e">
        <f>VLOOKUP(O7,'9. Weighting'!$F$49:$H$53,3,FALSE)</f>
        <v>#N/A</v>
      </c>
      <c r="Q7" s="382" t="e">
        <f>P7*H7</f>
        <v>#N/A</v>
      </c>
    </row>
    <row r="8" spans="1:17" ht="17.100000000000001" customHeight="1">
      <c r="A8" s="383" t="s">
        <v>229</v>
      </c>
      <c r="B8" s="638"/>
      <c r="C8" s="384">
        <f>'9. Weighting'!I18</f>
        <v>0</v>
      </c>
      <c r="D8" s="385" t="str">
        <f>'9. Weighting'!H18</f>
        <v>Bitte Auswählen</v>
      </c>
      <c r="E8" s="375">
        <f t="shared" si="0"/>
        <v>0.97803586258736475</v>
      </c>
      <c r="F8" s="377">
        <f t="shared" si="1"/>
        <v>0</v>
      </c>
      <c r="G8" s="639"/>
      <c r="H8" s="378" t="str">
        <f t="shared" si="2"/>
        <v>-</v>
      </c>
      <c r="I8" s="364">
        <f t="shared" si="3"/>
        <v>2.99</v>
      </c>
      <c r="J8" s="640" t="s">
        <v>230</v>
      </c>
      <c r="K8" s="640"/>
      <c r="L8" s="640"/>
      <c r="M8" s="640"/>
      <c r="N8" s="386">
        <f>IFERROR((SUM(N3:N7)*1)/SUM(H3:H7),1)</f>
        <v>1</v>
      </c>
      <c r="O8" s="387"/>
      <c r="P8" s="387"/>
      <c r="Q8" s="386">
        <f>IFERROR((SUM(Q3:Q7)*1)/SUM(H3:H7),1)</f>
        <v>1</v>
      </c>
    </row>
    <row r="9" spans="1:17" ht="11.1" customHeight="1">
      <c r="A9" s="388"/>
      <c r="B9" s="389"/>
      <c r="C9" s="389"/>
      <c r="D9" s="389"/>
      <c r="E9" s="390"/>
      <c r="F9" s="389"/>
      <c r="G9" s="389"/>
      <c r="H9" s="378"/>
      <c r="I9" s="391">
        <f>IFERROR(I3*H3+I4*H4+I5*H5+I6*H6+I7*H7+I8*H8,I21)</f>
        <v>0</v>
      </c>
    </row>
    <row r="10" spans="1:17" ht="11.1" customHeight="1">
      <c r="A10" s="392" t="s">
        <v>231</v>
      </c>
      <c r="B10" s="393">
        <f>'9. Weighting'!I25</f>
        <v>0</v>
      </c>
      <c r="C10" s="394">
        <f>'2. Company Facts'!D30</f>
        <v>0</v>
      </c>
      <c r="D10" s="395" t="str">
        <f>'2. Company Facts'!B30</f>
        <v>Bitte Auswählen</v>
      </c>
      <c r="E10" s="375">
        <f>IFERROR(VLOOKUP(D10,$A$22:$G$400,3,FALSE),$C$243)</f>
        <v>0.97803586258736475</v>
      </c>
      <c r="F10" s="396">
        <f>C10*E10*B10</f>
        <v>0</v>
      </c>
      <c r="G10" s="396">
        <f>F10+F11+F12+F13</f>
        <v>0</v>
      </c>
      <c r="H10" s="397">
        <f>SUM(H3:H8)</f>
        <v>0</v>
      </c>
      <c r="I10" s="364">
        <f>IFERROR(VLOOKUP(D10,$A$21:$I$134,6,FALSE),I28)</f>
        <v>0</v>
      </c>
    </row>
    <row r="11" spans="1:17" ht="9.75" customHeight="1">
      <c r="A11" s="398"/>
      <c r="B11" s="399"/>
      <c r="C11" s="394">
        <f>'2. Company Facts'!D31</f>
        <v>0</v>
      </c>
      <c r="D11" s="395" t="str">
        <f>'2. Company Facts'!B31</f>
        <v>Bitte Auswählen</v>
      </c>
      <c r="E11" s="375">
        <f>IFERROR(VLOOKUP(D11,$A$22:$G$400,3,FALSE),$C$243)</f>
        <v>0.97803586258736475</v>
      </c>
      <c r="F11" s="396">
        <f>C11*E11*B10</f>
        <v>0</v>
      </c>
      <c r="G11" s="389"/>
      <c r="H11" s="397"/>
      <c r="I11" s="364">
        <f>IFERROR(VLOOKUP(D11,$A$21:$I$134,6,FALSE),I29)</f>
        <v>0</v>
      </c>
    </row>
    <row r="12" spans="1:17" ht="9.75" customHeight="1">
      <c r="A12" s="398"/>
      <c r="B12" s="399"/>
      <c r="C12" s="394">
        <f>'2. Company Facts'!D32</f>
        <v>0</v>
      </c>
      <c r="D12" s="395" t="str">
        <f>'2. Company Facts'!B32</f>
        <v>Bitte Auswählen</v>
      </c>
      <c r="E12" s="375">
        <f>IFERROR(VLOOKUP(D12,$A$22:$G$400,3,FALSE),$C$243)</f>
        <v>0.97803586258736475</v>
      </c>
      <c r="F12" s="396">
        <f>C12*E12*B10</f>
        <v>0</v>
      </c>
      <c r="G12" s="389"/>
      <c r="H12" s="397"/>
      <c r="I12" s="364">
        <f>IFERROR(VLOOKUP(D12,$A$21:$I$134,6,FALSE),I30)</f>
        <v>0</v>
      </c>
    </row>
    <row r="13" spans="1:17" ht="9.75" customHeight="1">
      <c r="A13" s="398"/>
      <c r="B13" s="399"/>
      <c r="C13" s="400">
        <f>1-C10-C11-C12</f>
        <v>1</v>
      </c>
      <c r="D13" s="399" t="str">
        <f>A21</f>
        <v>Country Code</v>
      </c>
      <c r="E13" s="375">
        <f>IFERROR(VLOOKUP(D13,$A$22:$G$400,3,FALSE),$C$243)</f>
        <v>0.97803586258736475</v>
      </c>
      <c r="F13" s="396">
        <f>C13*E13*B10</f>
        <v>0</v>
      </c>
      <c r="G13" s="389"/>
      <c r="H13" s="397"/>
      <c r="I13" s="364">
        <f>IFERROR(VLOOKUP(D13,$A$21:$I$134,9,FALSE),"0")</f>
        <v>0</v>
      </c>
    </row>
    <row r="14" spans="1:17" ht="9.75" customHeight="1">
      <c r="A14" s="364" t="s">
        <v>232</v>
      </c>
      <c r="I14" s="401">
        <f>I10*C10+I11*C11+I12*C12+I13*C13</f>
        <v>0</v>
      </c>
    </row>
    <row r="17" spans="1:10" ht="25.5" customHeight="1">
      <c r="A17" s="402" t="s">
        <v>233</v>
      </c>
      <c r="B17" s="402"/>
      <c r="C17" s="402"/>
      <c r="D17" s="402"/>
      <c r="E17" s="402"/>
      <c r="F17" s="402"/>
      <c r="G17" s="402"/>
      <c r="H17" s="402"/>
    </row>
    <row r="18" spans="1:10" ht="9.75" customHeight="1">
      <c r="A18" s="403" t="s">
        <v>234</v>
      </c>
      <c r="B18" s="403" t="s">
        <v>235</v>
      </c>
      <c r="C18" s="403"/>
      <c r="D18" s="403"/>
      <c r="E18" s="403"/>
      <c r="F18" s="403"/>
      <c r="G18" s="403"/>
      <c r="H18" s="404"/>
    </row>
    <row r="19" spans="1:10" ht="9.75" customHeight="1">
      <c r="A19" s="403" t="s">
        <v>236</v>
      </c>
      <c r="B19" s="405" t="s">
        <v>237</v>
      </c>
      <c r="C19" s="405"/>
      <c r="D19" s="403"/>
      <c r="E19" s="406" t="s">
        <v>238</v>
      </c>
      <c r="F19" s="407"/>
      <c r="G19" s="403"/>
      <c r="H19" s="404" t="s">
        <v>239</v>
      </c>
    </row>
    <row r="20" spans="1:10" ht="9.75" customHeight="1">
      <c r="A20" s="403"/>
      <c r="B20" s="403"/>
      <c r="C20" s="403"/>
      <c r="D20" s="403"/>
      <c r="E20" s="403"/>
      <c r="F20" s="403"/>
      <c r="G20" s="403"/>
      <c r="H20" s="404"/>
    </row>
    <row r="21" spans="1:10" ht="9.75" customHeight="1">
      <c r="A21" s="408" t="s">
        <v>240</v>
      </c>
      <c r="B21" s="408" t="s">
        <v>241</v>
      </c>
      <c r="C21" s="409" t="s">
        <v>3193</v>
      </c>
      <c r="D21" s="409"/>
      <c r="E21" s="408" t="s">
        <v>113</v>
      </c>
      <c r="F21" s="409" t="s">
        <v>3194</v>
      </c>
      <c r="G21" s="410"/>
      <c r="H21" s="411"/>
      <c r="I21" s="412"/>
      <c r="J21" s="412" t="s">
        <v>242</v>
      </c>
    </row>
    <row r="22" spans="1:10" ht="9.75" customHeight="1">
      <c r="A22" s="410" t="str">
        <f>'12.lan'!D339</f>
        <v>ABW Aruba</v>
      </c>
      <c r="B22" s="410" t="s">
        <v>243</v>
      </c>
      <c r="C22" s="413">
        <f>VLOOKUP(B22,'12.ppp data'!$C$3:$J$273,7,FALSE)</f>
        <v>1.9628994497935313</v>
      </c>
      <c r="D22" s="413" t="str">
        <f>IF(VLOOKUP(B22,'12.ppp data'!$C$3:$J$273,8,FALSE)="est","est","-")</f>
        <v>est</v>
      </c>
      <c r="E22" s="410" t="s">
        <v>245</v>
      </c>
      <c r="F22" s="413">
        <v>3.4210526315789473</v>
      </c>
      <c r="G22" s="413" t="s">
        <v>244</v>
      </c>
      <c r="H22" s="365"/>
      <c r="I22" s="412"/>
      <c r="J22" s="410" t="s">
        <v>246</v>
      </c>
    </row>
    <row r="23" spans="1:10" ht="9.75" customHeight="1">
      <c r="A23" s="410" t="str">
        <f>'12.lan'!D340</f>
        <v>AFG Afghanistan</v>
      </c>
      <c r="B23" s="410" t="s">
        <v>247</v>
      </c>
      <c r="C23" s="413">
        <f>VLOOKUP(B23,'12.ppp data'!$C$3:$J$273,7,FALSE)</f>
        <v>3.7763264165136152</v>
      </c>
      <c r="D23" s="413" t="str">
        <f>IF(VLOOKUP(B23,'12.ppp data'!$C$3:$J$273,8,FALSE)="est","est","-")</f>
        <v>-</v>
      </c>
      <c r="E23" s="410" t="s">
        <v>248</v>
      </c>
      <c r="F23" s="413">
        <v>4.1785714285714288</v>
      </c>
      <c r="G23" s="413" t="s">
        <v>244</v>
      </c>
      <c r="H23" s="365"/>
      <c r="I23" s="412"/>
      <c r="J23" s="410" t="s">
        <v>249</v>
      </c>
    </row>
    <row r="24" spans="1:10" ht="9.75" customHeight="1">
      <c r="A24" s="410" t="str">
        <f>'12.lan'!D341</f>
        <v>AGO Angola</v>
      </c>
      <c r="B24" s="410" t="s">
        <v>250</v>
      </c>
      <c r="C24" s="413">
        <f>VLOOKUP(B24,'12.ppp data'!$C$3:$J$273,7,FALSE)</f>
        <v>1.7217817922468739</v>
      </c>
      <c r="D24" s="413" t="str">
        <f>IF(VLOOKUP(B24,'12.ppp data'!$C$3:$J$273,8,FALSE)="est","est","-")</f>
        <v>-</v>
      </c>
      <c r="E24" s="410" t="s">
        <v>251</v>
      </c>
      <c r="F24" s="413">
        <v>2</v>
      </c>
      <c r="G24" s="413"/>
      <c r="H24" s="411"/>
      <c r="I24" s="412"/>
      <c r="J24" s="410" t="s">
        <v>252</v>
      </c>
    </row>
    <row r="25" spans="1:10" ht="9.75" customHeight="1">
      <c r="A25" s="410" t="str">
        <f>'12.lan'!D342</f>
        <v>ALB Albanien</v>
      </c>
      <c r="B25" s="410" t="s">
        <v>253</v>
      </c>
      <c r="C25" s="413">
        <f>VLOOKUP(B25,'12.ppp data'!$C$3:$J$273,7,FALSE)</f>
        <v>2.9566126666919685</v>
      </c>
      <c r="D25" s="413" t="str">
        <f>IF(VLOOKUP(B25,'12.ppp data'!$C$3:$J$273,8,FALSE)="est","est","-")</f>
        <v>-</v>
      </c>
      <c r="E25" s="410" t="s">
        <v>254</v>
      </c>
      <c r="F25" s="413">
        <v>2</v>
      </c>
      <c r="G25" s="413"/>
      <c r="H25" s="414"/>
      <c r="I25" s="412"/>
      <c r="J25" s="410" t="s">
        <v>255</v>
      </c>
    </row>
    <row r="26" spans="1:10" ht="9.75" customHeight="1">
      <c r="A26" s="410" t="str">
        <f>'12.lan'!D343</f>
        <v>AND Andorra</v>
      </c>
      <c r="B26" s="410" t="s">
        <v>256</v>
      </c>
      <c r="C26" s="413">
        <f>VLOOKUP(B26,'12.ppp data'!$C$3:$J$273,7,FALSE)</f>
        <v>1.9328616451977572</v>
      </c>
      <c r="D26" s="413" t="str">
        <f>IF(VLOOKUP(B26,'12.ppp data'!$C$3:$J$273,8,FALSE)="est","est","-")</f>
        <v>est</v>
      </c>
      <c r="E26" s="410" t="s">
        <v>254</v>
      </c>
      <c r="F26" s="413">
        <v>2</v>
      </c>
      <c r="G26" s="413" t="s">
        <v>244</v>
      </c>
      <c r="H26" s="415"/>
      <c r="I26" s="412"/>
      <c r="J26" s="410" t="s">
        <v>257</v>
      </c>
    </row>
    <row r="27" spans="1:10" ht="9.75" customHeight="1">
      <c r="A27" s="410" t="str">
        <f>'12.lan'!D344</f>
        <v>ARE Vereinigte Arabische Emirate</v>
      </c>
      <c r="B27" s="410" t="s">
        <v>258</v>
      </c>
      <c r="C27" s="413">
        <f>VLOOKUP(B27,'12.ppp data'!$C$3:$J$273,7,FALSE)</f>
        <v>2.0501080313559403</v>
      </c>
      <c r="D27" s="413" t="str">
        <f>IF(VLOOKUP(B27,'12.ppp data'!$C$3:$J$273,8,FALSE)="est","est","-")</f>
        <v>-</v>
      </c>
      <c r="E27" s="410" t="s">
        <v>248</v>
      </c>
      <c r="F27" s="413">
        <v>5</v>
      </c>
      <c r="G27" s="413"/>
      <c r="H27" s="415"/>
      <c r="I27" s="412"/>
      <c r="J27" s="410" t="s">
        <v>259</v>
      </c>
    </row>
    <row r="28" spans="1:10" ht="9.75" customHeight="1">
      <c r="A28" s="410" t="str">
        <f>'12.lan'!D345</f>
        <v>ARG Argentinien</v>
      </c>
      <c r="B28" s="410" t="s">
        <v>260</v>
      </c>
      <c r="C28" s="413">
        <f>VLOOKUP(B28,'12.ppp data'!$C$3:$J$273,7,FALSE)</f>
        <v>1.6274705907178522</v>
      </c>
      <c r="D28" s="413" t="str">
        <f>IF(VLOOKUP(B28,'12.ppp data'!$C$3:$J$273,8,FALSE)="est","est","-")</f>
        <v>-</v>
      </c>
      <c r="E28" s="410" t="s">
        <v>245</v>
      </c>
      <c r="F28" s="413">
        <v>4</v>
      </c>
      <c r="G28" s="413"/>
      <c r="H28" s="414"/>
      <c r="J28" s="410" t="s">
        <v>261</v>
      </c>
    </row>
    <row r="29" spans="1:10" ht="9.75" customHeight="1">
      <c r="A29" s="410" t="str">
        <f>'12.lan'!D346</f>
        <v>ARM Armenien</v>
      </c>
      <c r="B29" s="410" t="s">
        <v>262</v>
      </c>
      <c r="C29" s="413">
        <f>VLOOKUP(B29,'12.ppp data'!$C$3:$J$273,7,FALSE)</f>
        <v>2.6723673375423806</v>
      </c>
      <c r="D29" s="413" t="str">
        <f>IF(VLOOKUP(B29,'12.ppp data'!$C$3:$J$273,8,FALSE)="est","est","-")</f>
        <v>-</v>
      </c>
      <c r="E29" s="410" t="s">
        <v>248</v>
      </c>
      <c r="F29" s="413">
        <v>4.1785714285714288</v>
      </c>
      <c r="G29" s="413" t="s">
        <v>244</v>
      </c>
      <c r="H29" s="414"/>
      <c r="J29" s="410" t="s">
        <v>263</v>
      </c>
    </row>
    <row r="30" spans="1:10" ht="9.75" customHeight="1">
      <c r="A30" s="410" t="str">
        <f>'12.lan'!D347</f>
        <v>ASM Amerikanisch-Samoa</v>
      </c>
      <c r="B30" s="410" t="s">
        <v>264</v>
      </c>
      <c r="C30" s="413">
        <f>VLOOKUP(B30,'12.ppp data'!$C$3:$J$273,7,FALSE)</f>
        <v>1.3563308370936336</v>
      </c>
      <c r="D30" s="413" t="str">
        <f>IF(VLOOKUP(B30,'12.ppp data'!$C$3:$J$273,8,FALSE)="est","est","-")</f>
        <v>est</v>
      </c>
      <c r="E30" s="410" t="s">
        <v>265</v>
      </c>
      <c r="F30" s="413">
        <v>3</v>
      </c>
      <c r="G30" s="413"/>
      <c r="H30" s="414"/>
      <c r="J30" s="410" t="s">
        <v>266</v>
      </c>
    </row>
    <row r="31" spans="1:10" ht="9.75" customHeight="1">
      <c r="A31" s="410" t="str">
        <f>'12.lan'!D348</f>
        <v>ATG Antigua und Barbuda</v>
      </c>
      <c r="B31" s="410" t="s">
        <v>267</v>
      </c>
      <c r="C31" s="413">
        <f>VLOOKUP(B31,'12.ppp data'!$C$3:$J$273,7,FALSE)</f>
        <v>1.7740364576924315</v>
      </c>
      <c r="D31" s="413" t="str">
        <f>IF(VLOOKUP(B31,'12.ppp data'!$C$3:$J$273,8,FALSE)="est","est","-")</f>
        <v>-</v>
      </c>
      <c r="E31" s="410" t="s">
        <v>245</v>
      </c>
      <c r="F31" s="413">
        <v>3.4210526315789473</v>
      </c>
      <c r="G31" s="413" t="s">
        <v>244</v>
      </c>
      <c r="H31" s="414"/>
      <c r="J31" s="410" t="s">
        <v>268</v>
      </c>
    </row>
    <row r="32" spans="1:10" ht="9.75" customHeight="1">
      <c r="A32" s="410" t="str">
        <f>'12.lan'!D349</f>
        <v>AUS Australien</v>
      </c>
      <c r="B32" s="410" t="s">
        <v>269</v>
      </c>
      <c r="C32" s="413">
        <f>VLOOKUP(B32,'12.ppp data'!$C$3:$J$273,7,FALSE)</f>
        <v>0.97205158284555404</v>
      </c>
      <c r="D32" s="413" t="str">
        <f>IF(VLOOKUP(B32,'12.ppp data'!$C$3:$J$273,8,FALSE)="est","est","-")</f>
        <v>-</v>
      </c>
      <c r="E32" s="410" t="s">
        <v>265</v>
      </c>
      <c r="F32" s="413">
        <v>3</v>
      </c>
      <c r="G32" s="413" t="s">
        <v>244</v>
      </c>
      <c r="H32" s="414"/>
      <c r="J32" s="410" t="s">
        <v>270</v>
      </c>
    </row>
    <row r="33" spans="1:10" ht="9.75" customHeight="1">
      <c r="A33" s="410" t="str">
        <f>'12.lan'!D350</f>
        <v>AUT Österreich</v>
      </c>
      <c r="B33" s="410" t="s">
        <v>271</v>
      </c>
      <c r="C33" s="413">
        <f>VLOOKUP(B33,'12.ppp data'!$C$3:$J$273,7,FALSE)</f>
        <v>1.252387363411503</v>
      </c>
      <c r="D33" s="413" t="str">
        <f>IF(VLOOKUP(B33,'12.ppp data'!$C$3:$J$273,8,FALSE)="est","est","-")</f>
        <v>-</v>
      </c>
      <c r="E33" s="410" t="s">
        <v>254</v>
      </c>
      <c r="F33" s="413">
        <v>1</v>
      </c>
      <c r="G33" s="413"/>
      <c r="H33" s="414"/>
      <c r="J33" s="410" t="s">
        <v>272</v>
      </c>
    </row>
    <row r="34" spans="1:10" ht="9.75" customHeight="1">
      <c r="A34" s="410" t="str">
        <f>'12.lan'!D351</f>
        <v>AZE Aserbaidschan</v>
      </c>
      <c r="B34" s="410" t="s">
        <v>273</v>
      </c>
      <c r="C34" s="413">
        <f>VLOOKUP(B34,'12.ppp data'!$C$3:$J$273,7,FALSE)</f>
        <v>4.7310309171486411</v>
      </c>
      <c r="D34" s="413" t="str">
        <f>IF(VLOOKUP(B34,'12.ppp data'!$C$3:$J$273,8,FALSE)="est","est","-")</f>
        <v>-</v>
      </c>
      <c r="E34" s="410" t="s">
        <v>248</v>
      </c>
      <c r="F34" s="413">
        <v>4.1785714285714288</v>
      </c>
      <c r="G34" s="413" t="s">
        <v>244</v>
      </c>
      <c r="H34" s="414"/>
      <c r="J34" s="410" t="s">
        <v>274</v>
      </c>
    </row>
    <row r="35" spans="1:10" ht="9.75" customHeight="1">
      <c r="A35" s="410" t="str">
        <f>'12.lan'!D352</f>
        <v>BDI Burundi</v>
      </c>
      <c r="B35" s="410" t="s">
        <v>275</v>
      </c>
      <c r="C35" s="413">
        <f>VLOOKUP(B35,'12.ppp data'!$C$3:$J$273,7,FALSE)</f>
        <v>2.6736725667356298</v>
      </c>
      <c r="D35" s="413" t="str">
        <f>IF(VLOOKUP(B35,'12.ppp data'!$C$3:$J$273,8,FALSE)="est","est","-")</f>
        <v>-</v>
      </c>
      <c r="E35" s="410" t="s">
        <v>251</v>
      </c>
      <c r="F35" s="413">
        <v>3.7083333333333335</v>
      </c>
      <c r="G35" s="413" t="s">
        <v>244</v>
      </c>
      <c r="H35" s="414"/>
      <c r="J35" s="410" t="s">
        <v>276</v>
      </c>
    </row>
    <row r="36" spans="1:10" ht="9.75" customHeight="1">
      <c r="A36" s="410" t="str">
        <f>'12.lan'!D353</f>
        <v>BEL Belgien</v>
      </c>
      <c r="B36" s="410" t="s">
        <v>277</v>
      </c>
      <c r="C36" s="413">
        <f>VLOOKUP(B36,'12.ppp data'!$C$3:$J$273,7,FALSE)</f>
        <v>1.2371047295750917</v>
      </c>
      <c r="D36" s="413" t="str">
        <f>IF(VLOOKUP(B36,'12.ppp data'!$C$3:$J$273,8,FALSE)="est","est","-")</f>
        <v>-</v>
      </c>
      <c r="E36" s="410" t="s">
        <v>254</v>
      </c>
      <c r="F36" s="413">
        <v>1</v>
      </c>
      <c r="G36" s="413"/>
      <c r="H36" s="365"/>
      <c r="J36" s="410" t="s">
        <v>278</v>
      </c>
    </row>
    <row r="37" spans="1:10" ht="9.75" customHeight="1">
      <c r="A37" s="410" t="str">
        <f>'12.lan'!D354</f>
        <v>BEN Benin</v>
      </c>
      <c r="B37" s="410" t="s">
        <v>279</v>
      </c>
      <c r="C37" s="413">
        <f>VLOOKUP(B37,'12.ppp data'!$C$3:$J$273,7,FALSE)</f>
        <v>3.0882926553539054</v>
      </c>
      <c r="D37" s="413" t="str">
        <f>IF(VLOOKUP(B37,'12.ppp data'!$C$3:$J$273,8,FALSE)="est","est","-")</f>
        <v>-</v>
      </c>
      <c r="E37" s="410" t="s">
        <v>251</v>
      </c>
      <c r="F37" s="413">
        <v>3.7083333333333335</v>
      </c>
      <c r="G37" s="413" t="s">
        <v>244</v>
      </c>
      <c r="H37" s="365"/>
      <c r="J37" s="410" t="s">
        <v>280</v>
      </c>
    </row>
    <row r="38" spans="1:10" ht="9.75" customHeight="1">
      <c r="A38" s="410" t="str">
        <f>'12.lan'!D355</f>
        <v>BFA Burkina Faso</v>
      </c>
      <c r="B38" s="410" t="s">
        <v>281</v>
      </c>
      <c r="C38" s="413">
        <f>VLOOKUP(B38,'12.ppp data'!$C$3:$J$273,7,FALSE)</f>
        <v>3.1441203989430693</v>
      </c>
      <c r="D38" s="413" t="str">
        <f>IF(VLOOKUP(B38,'12.ppp data'!$C$3:$J$273,8,FALSE)="est","est","-")</f>
        <v>-</v>
      </c>
      <c r="E38" s="410" t="s">
        <v>251</v>
      </c>
      <c r="F38" s="413">
        <v>3.7083333333333335</v>
      </c>
      <c r="G38" s="413" t="s">
        <v>244</v>
      </c>
      <c r="H38" s="365"/>
      <c r="J38" s="410" t="s">
        <v>282</v>
      </c>
    </row>
    <row r="39" spans="1:10" ht="9.75" customHeight="1">
      <c r="A39" s="410" t="str">
        <f>'12.lan'!D356</f>
        <v>BGD Bangladesch</v>
      </c>
      <c r="B39" s="410" t="s">
        <v>283</v>
      </c>
      <c r="C39" s="413">
        <f>VLOOKUP(B39,'12.ppp data'!$C$3:$J$273,7,FALSE)</f>
        <v>2.911298949024506</v>
      </c>
      <c r="D39" s="413" t="str">
        <f>IF(VLOOKUP(B39,'12.ppp data'!$C$3:$J$273,8,FALSE)="est","est","-")</f>
        <v>-</v>
      </c>
      <c r="E39" s="410" t="s">
        <v>248</v>
      </c>
      <c r="F39" s="413">
        <v>5</v>
      </c>
      <c r="G39" s="413"/>
      <c r="H39" s="365"/>
      <c r="J39" s="410" t="s">
        <v>284</v>
      </c>
    </row>
    <row r="40" spans="1:10" ht="9.75" customHeight="1">
      <c r="A40" s="410" t="str">
        <f>'12.lan'!D357</f>
        <v>BGR Bulgarien</v>
      </c>
      <c r="B40" s="410" t="s">
        <v>285</v>
      </c>
      <c r="C40" s="413">
        <f>VLOOKUP(B40,'12.ppp data'!$C$3:$J$273,7,FALSE)</f>
        <v>2.8473179290648658</v>
      </c>
      <c r="D40" s="413" t="str">
        <f>IF(VLOOKUP(B40,'12.ppp data'!$C$3:$J$273,8,FALSE)="est","est","-")</f>
        <v>-</v>
      </c>
      <c r="E40" s="410" t="s">
        <v>254</v>
      </c>
      <c r="F40" s="413">
        <v>3</v>
      </c>
      <c r="G40" s="413"/>
      <c r="H40" s="365"/>
      <c r="J40" s="410" t="s">
        <v>286</v>
      </c>
    </row>
    <row r="41" spans="1:10" ht="9.75" customHeight="1">
      <c r="A41" s="410" t="str">
        <f>'12.lan'!D358</f>
        <v>BHR Bahrain</v>
      </c>
      <c r="B41" s="410" t="s">
        <v>287</v>
      </c>
      <c r="C41" s="413">
        <f>VLOOKUP(B41,'12.ppp data'!$C$3:$J$273,7,FALSE)</f>
        <v>2.2575642821440924</v>
      </c>
      <c r="D41" s="413" t="str">
        <f>IF(VLOOKUP(B41,'12.ppp data'!$C$3:$J$273,8,FALSE)="est","est","-")</f>
        <v>-</v>
      </c>
      <c r="E41" s="410" t="s">
        <v>248</v>
      </c>
      <c r="F41" s="413">
        <v>4</v>
      </c>
      <c r="G41" s="413"/>
      <c r="H41" s="365"/>
      <c r="J41" s="410" t="s">
        <v>288</v>
      </c>
    </row>
    <row r="42" spans="1:10" ht="9.75" customHeight="1">
      <c r="A42" s="410" t="str">
        <f>'12.lan'!D359</f>
        <v>BHS Bahamas</v>
      </c>
      <c r="B42" s="410" t="s">
        <v>289</v>
      </c>
      <c r="C42" s="413">
        <f>VLOOKUP(B42,'12.ppp data'!$C$3:$J$273,7,FALSE)</f>
        <v>1.117305709261889</v>
      </c>
      <c r="D42" s="413" t="str">
        <f>IF(VLOOKUP(B42,'12.ppp data'!$C$3:$J$273,8,FALSE)="est","est","-")</f>
        <v>-</v>
      </c>
      <c r="E42" s="410" t="s">
        <v>245</v>
      </c>
      <c r="F42" s="413">
        <v>3.4210526315789473</v>
      </c>
      <c r="G42" s="413" t="s">
        <v>244</v>
      </c>
      <c r="H42" s="365"/>
      <c r="J42" s="410" t="s">
        <v>290</v>
      </c>
    </row>
    <row r="43" spans="1:10" ht="9.75" customHeight="1">
      <c r="A43" s="410" t="str">
        <f>'12.lan'!D360</f>
        <v>BIH Bosnien und Herzegowina</v>
      </c>
      <c r="B43" s="410" t="s">
        <v>291</v>
      </c>
      <c r="C43" s="413">
        <f>VLOOKUP(B43,'12.ppp data'!$C$3:$J$273,7,FALSE)</f>
        <v>2.8020129057999972</v>
      </c>
      <c r="D43" s="413" t="str">
        <f>IF(VLOOKUP(B43,'12.ppp data'!$C$3:$J$273,8,FALSE)="est","est","-")</f>
        <v>-</v>
      </c>
      <c r="E43" s="410" t="s">
        <v>254</v>
      </c>
      <c r="F43" s="413">
        <v>2</v>
      </c>
      <c r="G43" s="413"/>
      <c r="H43" s="365"/>
      <c r="J43" s="410" t="s">
        <v>292</v>
      </c>
    </row>
    <row r="44" spans="1:10" ht="9.75" customHeight="1">
      <c r="A44" s="410" t="str">
        <f>'12.lan'!D361</f>
        <v>BLR Belarus</v>
      </c>
      <c r="B44" s="410" t="s">
        <v>293</v>
      </c>
      <c r="C44" s="413">
        <f>VLOOKUP(B44,'12.ppp data'!$C$3:$J$273,7,FALSE)</f>
        <v>3.8046141829507074</v>
      </c>
      <c r="D44" s="413" t="str">
        <f>IF(VLOOKUP(B44,'12.ppp data'!$C$3:$J$273,8,FALSE)="est","est","-")</f>
        <v>-</v>
      </c>
      <c r="E44" s="410" t="s">
        <v>254</v>
      </c>
      <c r="F44" s="413">
        <v>5</v>
      </c>
      <c r="G44" s="413"/>
      <c r="H44" s="365"/>
      <c r="J44" s="410" t="s">
        <v>294</v>
      </c>
    </row>
    <row r="45" spans="1:10" ht="9.75" customHeight="1">
      <c r="A45" s="410" t="str">
        <f>'12.lan'!D362</f>
        <v>BLZ Belize</v>
      </c>
      <c r="B45" s="410" t="s">
        <v>295</v>
      </c>
      <c r="C45" s="413">
        <f>VLOOKUP(B45,'12.ppp data'!$C$3:$J$273,7,FALSE)</f>
        <v>1.9778456107043767</v>
      </c>
      <c r="D45" s="413" t="str">
        <f>IF(VLOOKUP(B45,'12.ppp data'!$C$3:$J$273,8,FALSE)="est","est","-")</f>
        <v>-</v>
      </c>
      <c r="E45" s="410" t="s">
        <v>245</v>
      </c>
      <c r="F45" s="413">
        <v>3.4210526315789473</v>
      </c>
      <c r="G45" s="413" t="s">
        <v>244</v>
      </c>
      <c r="H45" s="365"/>
      <c r="J45" s="410" t="s">
        <v>296</v>
      </c>
    </row>
    <row r="46" spans="1:10" ht="9.75" customHeight="1">
      <c r="A46" s="410" t="str">
        <f>'12.lan'!D363</f>
        <v>BMU Bermuda</v>
      </c>
      <c r="B46" s="410" t="s">
        <v>297</v>
      </c>
      <c r="C46" s="413">
        <f>VLOOKUP(B46,'12.ppp data'!$C$3:$J$273,7,FALSE)</f>
        <v>1.9628994497935313</v>
      </c>
      <c r="D46" s="413" t="str">
        <f>IF(VLOOKUP(B46,'12.ppp data'!$C$3:$J$273,8,FALSE)="est","est","-")</f>
        <v>est</v>
      </c>
      <c r="E46" s="410" t="s">
        <v>245</v>
      </c>
      <c r="F46" s="413">
        <v>3.4210526315789473</v>
      </c>
      <c r="G46" s="413" t="s">
        <v>244</v>
      </c>
      <c r="H46" s="365"/>
      <c r="J46" s="410" t="s">
        <v>298</v>
      </c>
    </row>
    <row r="47" spans="1:10" ht="9.75" customHeight="1">
      <c r="A47" s="410" t="str">
        <f>'12.lan'!D364</f>
        <v>BOL Bolivien</v>
      </c>
      <c r="B47" s="410" t="s">
        <v>299</v>
      </c>
      <c r="C47" s="413">
        <f>VLOOKUP(B47,'12.ppp data'!$C$3:$J$273,7,FALSE)</f>
        <v>2.4675622866480187</v>
      </c>
      <c r="D47" s="413" t="str">
        <f>IF(VLOOKUP(B47,'12.ppp data'!$C$3:$J$273,8,FALSE)="est","est","-")</f>
        <v>-</v>
      </c>
      <c r="E47" s="410" t="s">
        <v>245</v>
      </c>
      <c r="F47" s="413">
        <v>3</v>
      </c>
      <c r="G47" s="413"/>
      <c r="H47" s="365"/>
      <c r="J47" s="410" t="s">
        <v>300</v>
      </c>
    </row>
    <row r="48" spans="1:10" ht="9.75" customHeight="1">
      <c r="A48" s="410" t="str">
        <f>'12.lan'!D365</f>
        <v>BRA Brasilien</v>
      </c>
      <c r="B48" s="410" t="s">
        <v>301</v>
      </c>
      <c r="C48" s="413">
        <f>VLOOKUP(B48,'12.ppp data'!$C$3:$J$273,7,FALSE)</f>
        <v>1.7802721126230918</v>
      </c>
      <c r="D48" s="413" t="str">
        <f>IF(VLOOKUP(B48,'12.ppp data'!$C$3:$J$273,8,FALSE)="est","est","-")</f>
        <v>-</v>
      </c>
      <c r="E48" s="410" t="s">
        <v>245</v>
      </c>
      <c r="F48" s="413">
        <v>3</v>
      </c>
      <c r="G48" s="413"/>
      <c r="H48" s="365"/>
      <c r="J48" s="410" t="s">
        <v>302</v>
      </c>
    </row>
    <row r="49" spans="1:10" ht="9.75" customHeight="1">
      <c r="A49" s="410" t="str">
        <f>'12.lan'!D366</f>
        <v>BRB Barbados</v>
      </c>
      <c r="B49" s="410" t="s">
        <v>303</v>
      </c>
      <c r="C49" s="413">
        <f>VLOOKUP(B49,'12.ppp data'!$C$3:$J$273,7,FALSE)</f>
        <v>1.2540038546613537</v>
      </c>
      <c r="D49" s="413" t="str">
        <f>IF(VLOOKUP(B49,'12.ppp data'!$C$3:$J$273,8,FALSE)="est","est","-")</f>
        <v>-</v>
      </c>
      <c r="E49" s="410" t="s">
        <v>245</v>
      </c>
      <c r="F49" s="413">
        <v>3.4210526315789473</v>
      </c>
      <c r="G49" s="413" t="s">
        <v>244</v>
      </c>
      <c r="H49" s="365"/>
      <c r="J49" s="410" t="s">
        <v>304</v>
      </c>
    </row>
    <row r="50" spans="1:10" ht="9.75" customHeight="1">
      <c r="A50" s="410" t="str">
        <f>'12.lan'!D367</f>
        <v>BRN Brunei Darussalam</v>
      </c>
      <c r="B50" s="410" t="s">
        <v>305</v>
      </c>
      <c r="C50" s="413">
        <f>VLOOKUP(B50,'12.ppp data'!$C$3:$J$273,7,FALSE)</f>
        <v>3.1176181528100453</v>
      </c>
      <c r="D50" s="413" t="str">
        <f>IF(VLOOKUP(B50,'12.ppp data'!$C$3:$J$273,8,FALSE)="est","est","-")</f>
        <v>-</v>
      </c>
      <c r="E50" s="410" t="s">
        <v>248</v>
      </c>
      <c r="F50" s="413">
        <v>4.1785714285714288</v>
      </c>
      <c r="G50" s="413" t="s">
        <v>244</v>
      </c>
      <c r="H50" s="365"/>
      <c r="J50" s="410" t="s">
        <v>306</v>
      </c>
    </row>
    <row r="51" spans="1:10" ht="9.75" customHeight="1">
      <c r="A51" s="410" t="str">
        <f>'12.lan'!D368</f>
        <v>BTN Bhutan</v>
      </c>
      <c r="B51" s="410" t="s">
        <v>307</v>
      </c>
      <c r="C51" s="413">
        <f>VLOOKUP(B51,'12.ppp data'!$C$3:$J$273,7,FALSE)</f>
        <v>3.3234092918740692</v>
      </c>
      <c r="D51" s="413" t="str">
        <f>IF(VLOOKUP(B51,'12.ppp data'!$C$3:$J$273,8,FALSE)="est","est","-")</f>
        <v>-</v>
      </c>
      <c r="E51" s="410" t="s">
        <v>248</v>
      </c>
      <c r="F51" s="413">
        <v>4.1785714285714288</v>
      </c>
      <c r="G51" s="413" t="s">
        <v>244</v>
      </c>
      <c r="H51" s="365"/>
      <c r="J51" s="410" t="s">
        <v>308</v>
      </c>
    </row>
    <row r="52" spans="1:10" ht="9.75" customHeight="1">
      <c r="A52" s="410" t="str">
        <f>'12.lan'!D369</f>
        <v>BWA Botswana</v>
      </c>
      <c r="B52" s="410" t="s">
        <v>309</v>
      </c>
      <c r="C52" s="413">
        <f>VLOOKUP(B52,'12.ppp data'!$C$3:$J$273,7,FALSE)</f>
        <v>2.5503043498706708</v>
      </c>
      <c r="D52" s="413" t="str">
        <f>IF(VLOOKUP(B52,'12.ppp data'!$C$3:$J$273,8,FALSE)="est","est","-")</f>
        <v>-</v>
      </c>
      <c r="E52" s="410" t="s">
        <v>251</v>
      </c>
      <c r="F52" s="413">
        <v>4</v>
      </c>
      <c r="G52" s="413"/>
      <c r="H52" s="365"/>
      <c r="J52" s="410" t="s">
        <v>310</v>
      </c>
    </row>
    <row r="53" spans="1:10" ht="9.75" customHeight="1">
      <c r="A53" s="410" t="str">
        <f>'12.lan'!D370</f>
        <v>CAF Zentralafrikanische Republik</v>
      </c>
      <c r="B53" s="410" t="s">
        <v>311</v>
      </c>
      <c r="C53" s="413">
        <f>VLOOKUP(B53,'12.ppp data'!$C$3:$J$273,7,FALSE)</f>
        <v>1.959025642488365</v>
      </c>
      <c r="D53" s="413" t="str">
        <f>IF(VLOOKUP(B53,'12.ppp data'!$C$3:$J$273,8,FALSE)="est","est","-")</f>
        <v>-</v>
      </c>
      <c r="E53" s="410" t="s">
        <v>251</v>
      </c>
      <c r="F53" s="413">
        <v>3.7083333333333335</v>
      </c>
      <c r="G53" s="413" t="s">
        <v>244</v>
      </c>
      <c r="H53" s="365"/>
      <c r="J53" s="410" t="s">
        <v>312</v>
      </c>
    </row>
    <row r="54" spans="1:10" ht="9.75" customHeight="1">
      <c r="A54" s="410" t="str">
        <f>'12.lan'!D371</f>
        <v>CAN Kanada</v>
      </c>
      <c r="B54" s="410" t="s">
        <v>313</v>
      </c>
      <c r="C54" s="413">
        <f>VLOOKUP(B54,'12.ppp data'!$C$3:$J$273,7,FALSE)</f>
        <v>1.1634745723704574</v>
      </c>
      <c r="D54" s="413" t="str">
        <f>IF(VLOOKUP(B54,'12.ppp data'!$C$3:$J$273,8,FALSE)="est","est","-")</f>
        <v>-</v>
      </c>
      <c r="E54" s="410" t="s">
        <v>245</v>
      </c>
      <c r="F54" s="413">
        <v>3</v>
      </c>
      <c r="G54" s="413"/>
      <c r="H54" s="365"/>
      <c r="I54" s="416"/>
      <c r="J54" s="410" t="s">
        <v>314</v>
      </c>
    </row>
    <row r="55" spans="1:10" ht="9.75" customHeight="1">
      <c r="A55" s="410" t="str">
        <f>'12.lan'!D372</f>
        <v>CHE Schweiz (Confoederatio Helvetica)</v>
      </c>
      <c r="B55" s="410" t="s">
        <v>315</v>
      </c>
      <c r="C55" s="413">
        <f>VLOOKUP(B55,'12.ppp data'!$C$3:$J$273,7,FALSE)</f>
        <v>0.9153882839101658</v>
      </c>
      <c r="D55" s="413" t="str">
        <f>IF(VLOOKUP(B55,'12.ppp data'!$C$3:$J$273,8,FALSE)="est","est","-")</f>
        <v>-</v>
      </c>
      <c r="E55" s="410" t="s">
        <v>254</v>
      </c>
      <c r="F55" s="413">
        <v>2</v>
      </c>
      <c r="G55" s="413" t="s">
        <v>244</v>
      </c>
      <c r="H55" s="365"/>
      <c r="J55" s="410" t="s">
        <v>316</v>
      </c>
    </row>
    <row r="56" spans="1:10" ht="9.75" customHeight="1">
      <c r="A56" s="410" t="str">
        <f>'12.lan'!D373</f>
        <v>CHL Chile</v>
      </c>
      <c r="B56" s="410" t="s">
        <v>317</v>
      </c>
      <c r="C56" s="413">
        <f>VLOOKUP(B56,'12.ppp data'!$C$3:$J$273,7,FALSE)</f>
        <v>1.7644244813964496</v>
      </c>
      <c r="D56" s="413" t="str">
        <f>IF(VLOOKUP(B56,'12.ppp data'!$C$3:$J$273,8,FALSE)="est","est","-")</f>
        <v>-</v>
      </c>
      <c r="E56" s="410" t="s">
        <v>245</v>
      </c>
      <c r="F56" s="413">
        <v>3</v>
      </c>
      <c r="G56" s="413"/>
      <c r="H56" s="365"/>
      <c r="J56" s="410" t="s">
        <v>318</v>
      </c>
    </row>
    <row r="57" spans="1:10" ht="9.75" customHeight="1">
      <c r="A57" s="410" t="str">
        <f>'12.lan'!D374</f>
        <v>CHN China, Volksrepublik</v>
      </c>
      <c r="B57" s="410" t="s">
        <v>319</v>
      </c>
      <c r="C57" s="413">
        <f>VLOOKUP(B57,'12.ppp data'!$C$3:$J$273,7,FALSE)</f>
        <v>2.1503797961670617</v>
      </c>
      <c r="D57" s="413" t="str">
        <f>IF(VLOOKUP(B57,'12.ppp data'!$C$3:$J$273,8,FALSE)="est","est","-")</f>
        <v>-</v>
      </c>
      <c r="E57" s="410" t="s">
        <v>248</v>
      </c>
      <c r="F57" s="413">
        <v>5</v>
      </c>
      <c r="G57" s="413"/>
      <c r="H57" s="365"/>
      <c r="J57" s="410" t="s">
        <v>320</v>
      </c>
    </row>
    <row r="58" spans="1:10" ht="9.75" customHeight="1">
      <c r="A58" s="410" t="str">
        <f>'12.lan'!D375</f>
        <v>CIV Côte d’Ivoire (Elfenbeinküste)</v>
      </c>
      <c r="B58" s="410" t="s">
        <v>321</v>
      </c>
      <c r="C58" s="413">
        <f>VLOOKUP(B58,'12.ppp data'!$C$3:$J$273,7,FALSE)</f>
        <v>2.6835891443138244</v>
      </c>
      <c r="D58" s="413" t="str">
        <f>IF(VLOOKUP(B58,'12.ppp data'!$C$3:$J$273,8,FALSE)="est","est","-")</f>
        <v>-</v>
      </c>
      <c r="E58" s="410" t="s">
        <v>251</v>
      </c>
      <c r="F58" s="413">
        <v>5</v>
      </c>
      <c r="G58" s="413"/>
      <c r="H58" s="365"/>
      <c r="J58" s="410" t="s">
        <v>322</v>
      </c>
    </row>
    <row r="59" spans="1:10" ht="9.75" customHeight="1">
      <c r="A59" s="410" t="str">
        <f>'12.lan'!D376</f>
        <v>CMR Kamerun</v>
      </c>
      <c r="B59" s="410" t="s">
        <v>323</v>
      </c>
      <c r="C59" s="413">
        <f>VLOOKUP(B59,'12.ppp data'!$C$3:$J$273,7,FALSE)</f>
        <v>2.8832386484879957</v>
      </c>
      <c r="D59" s="413" t="str">
        <f>IF(VLOOKUP(B59,'12.ppp data'!$C$3:$J$273,8,FALSE)="est","est","-")</f>
        <v>-</v>
      </c>
      <c r="E59" s="410" t="s">
        <v>251</v>
      </c>
      <c r="F59" s="413">
        <v>2</v>
      </c>
      <c r="G59" s="413"/>
      <c r="H59" s="365"/>
      <c r="J59" s="410" t="s">
        <v>324</v>
      </c>
    </row>
    <row r="60" spans="1:10" ht="9.75" customHeight="1">
      <c r="A60" s="410" t="str">
        <f>'12.lan'!D377</f>
        <v>COD Kongo, Demokratische Republik (ehem. Zaire)</v>
      </c>
      <c r="B60" s="410" t="s">
        <v>325</v>
      </c>
      <c r="C60" s="413">
        <f>VLOOKUP(B60,'12.ppp data'!$C$3:$J$273,7,FALSE)</f>
        <v>2.1299392810512296</v>
      </c>
      <c r="D60" s="413" t="str">
        <f>IF(VLOOKUP(B60,'12.ppp data'!$C$3:$J$273,8,FALSE)="est","est","-")</f>
        <v>-</v>
      </c>
      <c r="E60" s="410" t="s">
        <v>251</v>
      </c>
      <c r="F60" s="413">
        <v>4</v>
      </c>
      <c r="G60" s="413"/>
      <c r="H60" s="365"/>
      <c r="J60" s="410" t="s">
        <v>326</v>
      </c>
    </row>
    <row r="61" spans="1:10" ht="9.75" customHeight="1">
      <c r="A61" s="410" t="str">
        <f>'12.lan'!D378</f>
        <v>COG Republik Kongo</v>
      </c>
      <c r="B61" s="410" t="s">
        <v>327</v>
      </c>
      <c r="C61" s="413">
        <f>VLOOKUP(B61,'12.ppp data'!$C$3:$J$273,7,FALSE)</f>
        <v>3.6495000244034985</v>
      </c>
      <c r="D61" s="413" t="str">
        <f>IF(VLOOKUP(B61,'12.ppp data'!$C$3:$J$273,8,FALSE)="est","est","-")</f>
        <v>-</v>
      </c>
      <c r="E61" s="410" t="s">
        <v>251</v>
      </c>
      <c r="F61" s="413">
        <v>3</v>
      </c>
      <c r="G61" s="413"/>
      <c r="H61" s="365"/>
      <c r="J61" s="410" t="s">
        <v>328</v>
      </c>
    </row>
    <row r="62" spans="1:10" ht="9.75" customHeight="1">
      <c r="A62" s="410" t="str">
        <f>'12.lan'!D379</f>
        <v>COL Kolumbien</v>
      </c>
      <c r="B62" s="410" t="s">
        <v>329</v>
      </c>
      <c r="C62" s="413">
        <f>VLOOKUP(B62,'12.ppp data'!$C$3:$J$273,7,FALSE)</f>
        <v>2.5998967962865138</v>
      </c>
      <c r="D62" s="413" t="str">
        <f>IF(VLOOKUP(B62,'12.ppp data'!$C$3:$J$273,8,FALSE)="est","est","-")</f>
        <v>-</v>
      </c>
      <c r="E62" s="410" t="s">
        <v>245</v>
      </c>
      <c r="F62" s="413">
        <v>5</v>
      </c>
      <c r="G62" s="413"/>
      <c r="H62" s="365"/>
      <c r="J62" s="410" t="s">
        <v>330</v>
      </c>
    </row>
    <row r="63" spans="1:10" ht="9.75" customHeight="1">
      <c r="A63" s="410" t="str">
        <f>'12.lan'!D380</f>
        <v>COM Komoren</v>
      </c>
      <c r="B63" s="410" t="s">
        <v>331</v>
      </c>
      <c r="C63" s="413">
        <f>VLOOKUP(B63,'12.ppp data'!$C$3:$J$273,7,FALSE)</f>
        <v>2.1983905043497955</v>
      </c>
      <c r="D63" s="413" t="str">
        <f>IF(VLOOKUP(B63,'12.ppp data'!$C$3:$J$273,8,FALSE)="est","est","-")</f>
        <v>-</v>
      </c>
      <c r="E63" s="410" t="s">
        <v>251</v>
      </c>
      <c r="F63" s="413">
        <v>3.7083333333333335</v>
      </c>
      <c r="G63" s="413" t="s">
        <v>244</v>
      </c>
      <c r="H63" s="365"/>
      <c r="J63" s="410" t="s">
        <v>332</v>
      </c>
    </row>
    <row r="64" spans="1:10" ht="9.75" customHeight="1">
      <c r="A64" s="410" t="str">
        <f>'12.lan'!D381</f>
        <v>CPV Kap Verde</v>
      </c>
      <c r="B64" s="410" t="s">
        <v>333</v>
      </c>
      <c r="C64" s="413">
        <f>VLOOKUP(B64,'12.ppp data'!$C$3:$J$273,7,FALSE)</f>
        <v>2.4021914075297448</v>
      </c>
      <c r="D64" s="413" t="str">
        <f>IF(VLOOKUP(B64,'12.ppp data'!$C$3:$J$273,8,FALSE)="est","est","-")</f>
        <v>-</v>
      </c>
      <c r="E64" s="410" t="s">
        <v>251</v>
      </c>
      <c r="F64" s="413">
        <v>3.7083333333333335</v>
      </c>
      <c r="G64" s="413" t="s">
        <v>244</v>
      </c>
      <c r="H64" s="365"/>
      <c r="J64" s="410" t="s">
        <v>334</v>
      </c>
    </row>
    <row r="65" spans="1:10" ht="9.75" customHeight="1">
      <c r="A65" s="410" t="str">
        <f>'12.lan'!D382</f>
        <v>CRI Costa Rica</v>
      </c>
      <c r="B65" s="410" t="s">
        <v>335</v>
      </c>
      <c r="C65" s="413">
        <f>VLOOKUP(B65,'12.ppp data'!$C$3:$J$273,7,FALSE)</f>
        <v>1.6011243751791864</v>
      </c>
      <c r="D65" s="413" t="str">
        <f>IF(VLOOKUP(B65,'12.ppp data'!$C$3:$J$273,8,FALSE)="est","est","-")</f>
        <v>-</v>
      </c>
      <c r="E65" s="410" t="s">
        <v>245</v>
      </c>
      <c r="F65" s="413">
        <v>3</v>
      </c>
      <c r="G65" s="413"/>
      <c r="H65" s="365"/>
      <c r="J65" s="410" t="s">
        <v>336</v>
      </c>
    </row>
    <row r="66" spans="1:10" ht="9.75" customHeight="1">
      <c r="A66" s="410" t="str">
        <f>'12.lan'!D383</f>
        <v>CUB Kuba</v>
      </c>
      <c r="B66" s="410" t="s">
        <v>337</v>
      </c>
      <c r="C66" s="413">
        <f>VLOOKUP(B66,'12.ppp data'!$C$3:$J$273,7,FALSE)</f>
        <v>1.9628994497935313</v>
      </c>
      <c r="D66" s="413" t="str">
        <f>IF(VLOOKUP(B66,'12.ppp data'!$C$3:$J$273,8,FALSE)="est","est","-")</f>
        <v>est</v>
      </c>
      <c r="E66" s="410" t="s">
        <v>245</v>
      </c>
      <c r="F66" s="413">
        <v>3.4210526315789473</v>
      </c>
      <c r="G66" s="413" t="s">
        <v>244</v>
      </c>
      <c r="H66" s="365"/>
      <c r="J66" s="410" t="s">
        <v>338</v>
      </c>
    </row>
    <row r="67" spans="1:10" ht="9.75" customHeight="1">
      <c r="A67" s="410" t="str">
        <f>'12.lan'!D384</f>
        <v>CUW Curaçao</v>
      </c>
      <c r="B67" s="410" t="s">
        <v>339</v>
      </c>
      <c r="C67" s="413">
        <f>VLOOKUP(B67,'12.ppp data'!$C$3:$J$273,7,FALSE)</f>
        <v>1.9628994497935313</v>
      </c>
      <c r="D67" s="413" t="str">
        <f>IF(VLOOKUP(B67,'12.ppp data'!$C$3:$J$273,8,FALSE)="est","est","-")</f>
        <v>est</v>
      </c>
      <c r="E67" s="410" t="s">
        <v>245</v>
      </c>
      <c r="F67" s="413">
        <v>3.4210526315789473</v>
      </c>
      <c r="G67" s="413" t="s">
        <v>244</v>
      </c>
      <c r="H67" s="365"/>
      <c r="J67" s="410" t="s">
        <v>340</v>
      </c>
    </row>
    <row r="68" spans="1:10" ht="9.75" customHeight="1">
      <c r="A68" s="410" t="str">
        <f>'12.lan'!D385</f>
        <v>CYM Kaimaninseln</v>
      </c>
      <c r="B68" s="410" t="s">
        <v>341</v>
      </c>
      <c r="C68" s="413">
        <f>VLOOKUP(B68,'12.ppp data'!$C$3:$J$273,7,FALSE)</f>
        <v>1.9628994497935313</v>
      </c>
      <c r="D68" s="413" t="str">
        <f>IF(VLOOKUP(B68,'12.ppp data'!$C$3:$J$273,8,FALSE)="est","est","-")</f>
        <v>est</v>
      </c>
      <c r="E68" s="410" t="s">
        <v>245</v>
      </c>
      <c r="F68" s="413">
        <v>3.4210526315789473</v>
      </c>
      <c r="G68" s="413" t="s">
        <v>244</v>
      </c>
      <c r="H68" s="365"/>
      <c r="J68" s="410" t="s">
        <v>342</v>
      </c>
    </row>
    <row r="69" spans="1:10" ht="9.75" customHeight="1">
      <c r="A69" s="410" t="str">
        <f>'12.lan'!D386</f>
        <v>CYP Zypern</v>
      </c>
      <c r="B69" s="410" t="s">
        <v>343</v>
      </c>
      <c r="C69" s="413">
        <f>VLOOKUP(B69,'12.ppp data'!$C$3:$J$273,7,FALSE)</f>
        <v>1.5408651717757238</v>
      </c>
      <c r="D69" s="413" t="str">
        <f>IF(VLOOKUP(B69,'12.ppp data'!$C$3:$J$273,8,FALSE)="est","est","-")</f>
        <v>-</v>
      </c>
      <c r="E69" s="410" t="s">
        <v>248</v>
      </c>
      <c r="F69" s="413">
        <v>4.1785714285714288</v>
      </c>
      <c r="G69" s="413" t="s">
        <v>244</v>
      </c>
      <c r="H69" s="365"/>
      <c r="J69" s="410" t="s">
        <v>344</v>
      </c>
    </row>
    <row r="70" spans="1:10" ht="9.75" customHeight="1">
      <c r="A70" s="410" t="str">
        <f>'12.lan'!D387</f>
        <v>CZE Tschechische Republik</v>
      </c>
      <c r="B70" s="410" t="s">
        <v>345</v>
      </c>
      <c r="C70" s="413">
        <f>VLOOKUP(B70,'12.ppp data'!$C$3:$J$273,7,FALSE)</f>
        <v>2.0458749282975601</v>
      </c>
      <c r="D70" s="413" t="str">
        <f>IF(VLOOKUP(B70,'12.ppp data'!$C$3:$J$273,8,FALSE)="est","est","-")</f>
        <v>-</v>
      </c>
      <c r="E70" s="410" t="s">
        <v>254</v>
      </c>
      <c r="F70" s="413">
        <v>2</v>
      </c>
      <c r="G70" s="413"/>
      <c r="H70" s="365"/>
      <c r="J70" s="410" t="s">
        <v>346</v>
      </c>
    </row>
    <row r="71" spans="1:10" ht="9.75" customHeight="1">
      <c r="A71" s="410" t="str">
        <f>'12.lan'!D388</f>
        <v>DEU Deutschland</v>
      </c>
      <c r="B71" s="410" t="s">
        <v>347</v>
      </c>
      <c r="C71" s="413">
        <f>VLOOKUP(B71,'12.ppp data'!$C$3:$J$273,7,FALSE)</f>
        <v>1.2851587299547367</v>
      </c>
      <c r="D71" s="413" t="str">
        <f>IF(VLOOKUP(B71,'12.ppp data'!$C$3:$J$273,8,FALSE)="est","est","-")</f>
        <v>-</v>
      </c>
      <c r="E71" s="410" t="s">
        <v>254</v>
      </c>
      <c r="F71" s="413">
        <v>1</v>
      </c>
      <c r="G71" s="413"/>
      <c r="H71" s="365"/>
      <c r="J71" s="410" t="s">
        <v>348</v>
      </c>
    </row>
    <row r="72" spans="1:10" ht="9.75" customHeight="1">
      <c r="A72" s="410" t="str">
        <f>'12.lan'!D389</f>
        <v>DJI Dschibuti</v>
      </c>
      <c r="B72" s="410" t="s">
        <v>349</v>
      </c>
      <c r="C72" s="413">
        <f>VLOOKUP(B72,'12.ppp data'!$C$3:$J$273,7,FALSE)</f>
        <v>3.0325616327831186</v>
      </c>
      <c r="D72" s="413" t="str">
        <f>IF(VLOOKUP(B72,'12.ppp data'!$C$3:$J$273,8,FALSE)="est","est","-")</f>
        <v>est</v>
      </c>
      <c r="E72" s="410" t="s">
        <v>251</v>
      </c>
      <c r="F72" s="413">
        <v>3.7083333333333335</v>
      </c>
      <c r="G72" s="413" t="s">
        <v>244</v>
      </c>
      <c r="H72" s="365"/>
      <c r="J72" s="410" t="s">
        <v>350</v>
      </c>
    </row>
    <row r="73" spans="1:10" ht="9.75" customHeight="1">
      <c r="A73" s="410" t="str">
        <f>'12.lan'!D390</f>
        <v>DMA Dominica</v>
      </c>
      <c r="B73" s="410" t="s">
        <v>351</v>
      </c>
      <c r="C73" s="413">
        <f>VLOOKUP(B73,'12.ppp data'!$C$3:$J$273,7,FALSE)</f>
        <v>1.5763123538056831</v>
      </c>
      <c r="D73" s="413" t="str">
        <f>IF(VLOOKUP(B73,'12.ppp data'!$C$3:$J$273,8,FALSE)="est","est","-")</f>
        <v>-</v>
      </c>
      <c r="E73" s="410" t="s">
        <v>245</v>
      </c>
      <c r="F73" s="413">
        <v>3.4210526315789473</v>
      </c>
      <c r="G73" s="413" t="s">
        <v>244</v>
      </c>
      <c r="H73" s="365"/>
      <c r="J73" s="410" t="s">
        <v>352</v>
      </c>
    </row>
    <row r="74" spans="1:10" ht="9.75" customHeight="1">
      <c r="A74" s="410" t="str">
        <f>'12.lan'!D391</f>
        <v>DNK Dänemark</v>
      </c>
      <c r="B74" s="410" t="s">
        <v>353</v>
      </c>
      <c r="C74" s="413">
        <f>VLOOKUP(B74,'12.ppp data'!$C$3:$J$273,7,FALSE)</f>
        <v>1.0129644494868468</v>
      </c>
      <c r="D74" s="413" t="str">
        <f>IF(VLOOKUP(B74,'12.ppp data'!$C$3:$J$273,8,FALSE)="est","est","-")</f>
        <v>-</v>
      </c>
      <c r="E74" s="410" t="s">
        <v>254</v>
      </c>
      <c r="F74" s="413">
        <v>1</v>
      </c>
      <c r="G74" s="413"/>
      <c r="H74" s="365"/>
      <c r="J74" s="410" t="s">
        <v>354</v>
      </c>
    </row>
    <row r="75" spans="1:10" ht="9.75" customHeight="1">
      <c r="A75" s="410" t="str">
        <f>'12.lan'!D392</f>
        <v>DOM Dominikanische Republik</v>
      </c>
      <c r="B75" s="410" t="s">
        <v>355</v>
      </c>
      <c r="C75" s="413">
        <f>VLOOKUP(B75,'12.ppp data'!$C$3:$J$273,7,FALSE)</f>
        <v>2.5270944944526477</v>
      </c>
      <c r="D75" s="413" t="str">
        <f>IF(VLOOKUP(B75,'12.ppp data'!$C$3:$J$273,8,FALSE)="est","est","-")</f>
        <v>-</v>
      </c>
      <c r="E75" s="410" t="s">
        <v>245</v>
      </c>
      <c r="F75" s="413">
        <v>2</v>
      </c>
      <c r="G75" s="413"/>
      <c r="H75" s="365"/>
      <c r="J75" s="410" t="s">
        <v>356</v>
      </c>
    </row>
    <row r="76" spans="1:10" ht="9.75" customHeight="1">
      <c r="A76" s="410" t="str">
        <f>'12.lan'!D393</f>
        <v>DZA Algerien</v>
      </c>
      <c r="B76" s="410" t="s">
        <v>357</v>
      </c>
      <c r="C76" s="413">
        <f>VLOOKUP(B76,'12.ppp data'!$C$3:$J$273,7,FALSE)</f>
        <v>4.1642622848338151</v>
      </c>
      <c r="D76" s="413" t="str">
        <f>IF(VLOOKUP(B76,'12.ppp data'!$C$3:$J$273,8,FALSE)="est","est","-")</f>
        <v>-</v>
      </c>
      <c r="E76" s="410" t="s">
        <v>251</v>
      </c>
      <c r="F76" s="413">
        <v>5</v>
      </c>
      <c r="G76" s="413"/>
      <c r="H76" s="365"/>
      <c r="J76" s="410" t="s">
        <v>358</v>
      </c>
    </row>
    <row r="77" spans="1:10" ht="9.75" customHeight="1">
      <c r="A77" s="410" t="str">
        <f>'12.lan'!D394</f>
        <v>ECU Ecuador</v>
      </c>
      <c r="B77" s="410" t="s">
        <v>359</v>
      </c>
      <c r="C77" s="413">
        <f>VLOOKUP(B77,'12.ppp data'!$C$3:$J$273,7,FALSE)</f>
        <v>2.1167738700762175</v>
      </c>
      <c r="D77" s="413" t="str">
        <f>IF(VLOOKUP(B77,'12.ppp data'!$C$3:$J$273,8,FALSE)="est","est","-")</f>
        <v>-</v>
      </c>
      <c r="E77" s="410" t="s">
        <v>245</v>
      </c>
      <c r="F77" s="413">
        <v>3</v>
      </c>
      <c r="G77" s="413"/>
      <c r="H77" s="365"/>
      <c r="J77" s="410" t="s">
        <v>360</v>
      </c>
    </row>
    <row r="78" spans="1:10" ht="9.75" customHeight="1">
      <c r="A78" s="410" t="str">
        <f>'12.lan'!D395</f>
        <v>EGY Ägypten</v>
      </c>
      <c r="B78" s="410" t="s">
        <v>361</v>
      </c>
      <c r="C78" s="413">
        <f>VLOOKUP(B78,'12.ppp data'!$C$3:$J$273,7,FALSE)</f>
        <v>6.5517395198485584</v>
      </c>
      <c r="D78" s="413" t="str">
        <f>IF(VLOOKUP(B78,'12.ppp data'!$C$3:$J$273,8,FALSE)="est","est","-")</f>
        <v>-</v>
      </c>
      <c r="E78" s="410" t="s">
        <v>251</v>
      </c>
      <c r="F78" s="413">
        <v>5</v>
      </c>
      <c r="G78" s="413"/>
      <c r="H78" s="365"/>
      <c r="J78" s="410" t="s">
        <v>362</v>
      </c>
    </row>
    <row r="79" spans="1:10" ht="9.75" customHeight="1">
      <c r="A79" s="410" t="str">
        <f>'12.lan'!D396</f>
        <v>ERI Eritrea</v>
      </c>
      <c r="B79" s="410" t="s">
        <v>363</v>
      </c>
      <c r="C79" s="413">
        <f>VLOOKUP(B79,'12.ppp data'!$C$3:$J$273,7,FALSE)</f>
        <v>3.0325616327831186</v>
      </c>
      <c r="D79" s="413" t="str">
        <f>IF(VLOOKUP(B79,'12.ppp data'!$C$3:$J$273,8,FALSE)="est","est","-")</f>
        <v>est</v>
      </c>
      <c r="E79" s="410" t="s">
        <v>251</v>
      </c>
      <c r="F79" s="413">
        <v>3.7083333333333335</v>
      </c>
      <c r="G79" s="413" t="s">
        <v>244</v>
      </c>
      <c r="H79" s="365"/>
      <c r="J79" s="410" t="s">
        <v>364</v>
      </c>
    </row>
    <row r="80" spans="1:10" ht="9.75" customHeight="1">
      <c r="A80" s="410" t="str">
        <f>'12.lan'!D397</f>
        <v>ESP Spanien</v>
      </c>
      <c r="B80" s="410" t="s">
        <v>365</v>
      </c>
      <c r="C80" s="413">
        <f>VLOOKUP(B80,'12.ppp data'!$C$3:$J$273,7,FALSE)</f>
        <v>1.5244739040557105</v>
      </c>
      <c r="D80" s="413" t="str">
        <f>IF(VLOOKUP(B80,'12.ppp data'!$C$3:$J$273,8,FALSE)="est","est","-")</f>
        <v>-</v>
      </c>
      <c r="E80" s="410" t="s">
        <v>254</v>
      </c>
      <c r="F80" s="413">
        <v>2</v>
      </c>
      <c r="G80" s="413"/>
      <c r="H80" s="365"/>
      <c r="J80" s="410" t="s">
        <v>366</v>
      </c>
    </row>
    <row r="81" spans="1:10" ht="9.75" customHeight="1">
      <c r="A81" s="410" t="str">
        <f>'12.lan'!D398</f>
        <v>EST Estland</v>
      </c>
      <c r="B81" s="410" t="s">
        <v>367</v>
      </c>
      <c r="C81" s="413">
        <f>VLOOKUP(B81,'12.ppp data'!$C$3:$J$273,7,FALSE)</f>
        <v>1.8093292635487097</v>
      </c>
      <c r="D81" s="413" t="str">
        <f>IF(VLOOKUP(B81,'12.ppp data'!$C$3:$J$273,8,FALSE)="est","est","-")</f>
        <v>-</v>
      </c>
      <c r="E81" s="410" t="s">
        <v>254</v>
      </c>
      <c r="F81" s="413">
        <v>1</v>
      </c>
      <c r="G81" s="413"/>
      <c r="H81" s="365"/>
      <c r="J81" s="410" t="s">
        <v>368</v>
      </c>
    </row>
    <row r="82" spans="1:10" ht="9.75" customHeight="1">
      <c r="A82" s="410" t="str">
        <f>'12.lan'!D399</f>
        <v>ETH Äthiopien</v>
      </c>
      <c r="B82" s="410" t="s">
        <v>369</v>
      </c>
      <c r="C82" s="413">
        <f>VLOOKUP(B82,'12.ppp data'!$C$3:$J$273,7,FALSE)</f>
        <v>2.9561559727359685</v>
      </c>
      <c r="D82" s="413" t="str">
        <f>IF(VLOOKUP(B82,'12.ppp data'!$C$3:$J$273,8,FALSE)="est","est","-")</f>
        <v>-</v>
      </c>
      <c r="E82" s="410" t="s">
        <v>251</v>
      </c>
      <c r="F82" s="413">
        <v>3</v>
      </c>
      <c r="G82" s="413"/>
      <c r="H82" s="365"/>
      <c r="J82" s="410" t="s">
        <v>370</v>
      </c>
    </row>
    <row r="83" spans="1:10" ht="9.75" customHeight="1">
      <c r="A83" s="410" t="str">
        <f>'12.lan'!D400</f>
        <v>FIN Finnland</v>
      </c>
      <c r="B83" s="410" t="s">
        <v>371</v>
      </c>
      <c r="C83" s="413">
        <f>VLOOKUP(B83,'12.ppp data'!$C$3:$J$273,7,FALSE)</f>
        <v>1.1142731707534492</v>
      </c>
      <c r="D83" s="413" t="str">
        <f>IF(VLOOKUP(B83,'12.ppp data'!$C$3:$J$273,8,FALSE)="est","est","-")</f>
        <v>-</v>
      </c>
      <c r="E83" s="410" t="s">
        <v>254</v>
      </c>
      <c r="F83" s="413">
        <v>1</v>
      </c>
      <c r="G83" s="413"/>
      <c r="H83" s="365"/>
      <c r="J83" s="410" t="s">
        <v>372</v>
      </c>
    </row>
    <row r="84" spans="1:10" ht="9.75" customHeight="1">
      <c r="A84" s="410" t="str">
        <f>'12.lan'!D401</f>
        <v>FJI Fidschi</v>
      </c>
      <c r="B84" s="410" t="s">
        <v>373</v>
      </c>
      <c r="C84" s="413">
        <f>VLOOKUP(B84,'12.ppp data'!$C$3:$J$273,7,FALSE)</f>
        <v>1.9119851455613843</v>
      </c>
      <c r="D84" s="413" t="str">
        <f>IF(VLOOKUP(B84,'12.ppp data'!$C$3:$J$273,8,FALSE)="est","est","-")</f>
        <v>-</v>
      </c>
      <c r="E84" s="410" t="s">
        <v>265</v>
      </c>
      <c r="F84" s="413">
        <v>3</v>
      </c>
      <c r="G84" s="413" t="s">
        <v>244</v>
      </c>
      <c r="H84" s="365"/>
      <c r="J84" s="410" t="s">
        <v>374</v>
      </c>
    </row>
    <row r="85" spans="1:10" ht="9.75" customHeight="1">
      <c r="A85" s="410" t="str">
        <f>'12.lan'!D402</f>
        <v>FRA Frankreich</v>
      </c>
      <c r="B85" s="410" t="s">
        <v>375</v>
      </c>
      <c r="C85" s="413">
        <f>VLOOKUP(B85,'12.ppp data'!$C$3:$J$273,7,FALSE)</f>
        <v>1.2528941855686637</v>
      </c>
      <c r="D85" s="413" t="str">
        <f>IF(VLOOKUP(B85,'12.ppp data'!$C$3:$J$273,8,FALSE)="est","est","-")</f>
        <v>-</v>
      </c>
      <c r="E85" s="410" t="s">
        <v>254</v>
      </c>
      <c r="F85" s="413">
        <v>1</v>
      </c>
      <c r="G85" s="413"/>
      <c r="H85" s="365"/>
      <c r="J85" s="410" t="s">
        <v>376</v>
      </c>
    </row>
    <row r="86" spans="1:10" ht="9.75" customHeight="1">
      <c r="A86" s="410" t="str">
        <f>'12.lan'!D403</f>
        <v>FRO Färöer</v>
      </c>
      <c r="B86" s="410" t="s">
        <v>377</v>
      </c>
      <c r="C86" s="413">
        <f>VLOOKUP(B86,'12.ppp data'!$C$3:$J$273,7,FALSE)</f>
        <v>1.9328616451977572</v>
      </c>
      <c r="D86" s="413" t="str">
        <f>IF(VLOOKUP(B86,'12.ppp data'!$C$3:$J$273,8,FALSE)="est","est","-")</f>
        <v>est</v>
      </c>
      <c r="E86" s="410" t="s">
        <v>254</v>
      </c>
      <c r="F86" s="413">
        <v>2</v>
      </c>
      <c r="G86" s="413" t="s">
        <v>244</v>
      </c>
      <c r="H86" s="365"/>
      <c r="J86" s="410" t="s">
        <v>378</v>
      </c>
    </row>
    <row r="87" spans="1:10" ht="9.75" customHeight="1">
      <c r="A87" s="410" t="str">
        <f>'12.lan'!D404</f>
        <v>FSM Mikronesien</v>
      </c>
      <c r="B87" s="410" t="s">
        <v>379</v>
      </c>
      <c r="C87" s="413">
        <f>VLOOKUP(B87,'12.ppp data'!$C$3:$J$273,7,FALSE)</f>
        <v>1.2835496050163311</v>
      </c>
      <c r="D87" s="413" t="str">
        <f>IF(VLOOKUP(B87,'12.ppp data'!$C$3:$J$273,8,FALSE)="est","est","-")</f>
        <v>-</v>
      </c>
      <c r="E87" s="410" t="s">
        <v>265</v>
      </c>
      <c r="F87" s="413">
        <v>3</v>
      </c>
      <c r="G87" s="413" t="s">
        <v>244</v>
      </c>
      <c r="H87" s="365"/>
      <c r="J87" s="410" t="s">
        <v>380</v>
      </c>
    </row>
    <row r="88" spans="1:10" ht="9.75" customHeight="1">
      <c r="A88" s="410" t="str">
        <f>'12.lan'!D405</f>
        <v>GAB Gabun</v>
      </c>
      <c r="B88" s="410" t="s">
        <v>381</v>
      </c>
      <c r="C88" s="413">
        <f>VLOOKUP(B88,'12.ppp data'!$C$3:$J$273,7,FALSE)</f>
        <v>2.843344628252908</v>
      </c>
      <c r="D88" s="413" t="str">
        <f>IF(VLOOKUP(B88,'12.ppp data'!$C$3:$J$273,8,FALSE)="est","est","-")</f>
        <v>-</v>
      </c>
      <c r="E88" s="410" t="s">
        <v>251</v>
      </c>
      <c r="F88" s="413">
        <v>3.7083333333333335</v>
      </c>
      <c r="G88" s="413" t="s">
        <v>244</v>
      </c>
      <c r="H88" s="365"/>
      <c r="J88" s="410" t="s">
        <v>382</v>
      </c>
    </row>
    <row r="89" spans="1:10" ht="9.75" customHeight="1">
      <c r="A89" s="410" t="str">
        <f>'12.lan'!D406</f>
        <v>GBR Vereinigtes Königreich Großbritannien und Nordirland</v>
      </c>
      <c r="B89" s="410" t="s">
        <v>383</v>
      </c>
      <c r="C89" s="413">
        <f>VLOOKUP(B89,'12.ppp data'!$C$3:$J$273,7,FALSE)</f>
        <v>1.2471403241674037</v>
      </c>
      <c r="D89" s="413" t="str">
        <f>IF(VLOOKUP(B89,'12.ppp data'!$C$3:$J$273,8,FALSE)="est","est","-")</f>
        <v>-</v>
      </c>
      <c r="E89" s="410" t="s">
        <v>254</v>
      </c>
      <c r="F89" s="413">
        <v>3</v>
      </c>
      <c r="G89" s="413"/>
      <c r="H89" s="365"/>
      <c r="J89" s="410" t="s">
        <v>384</v>
      </c>
    </row>
    <row r="90" spans="1:10" ht="9.75" customHeight="1">
      <c r="A90" s="410" t="str">
        <f>'12.lan'!D407</f>
        <v>GEO Georgien</v>
      </c>
      <c r="B90" s="410" t="s">
        <v>385</v>
      </c>
      <c r="C90" s="413">
        <f>VLOOKUP(B90,'12.ppp data'!$C$3:$J$273,7,FALSE)</f>
        <v>2.9423586688331254</v>
      </c>
      <c r="D90" s="413" t="str">
        <f>IF(VLOOKUP(B90,'12.ppp data'!$C$3:$J$273,8,FALSE)="est","est","-")</f>
        <v>-</v>
      </c>
      <c r="E90" s="410" t="s">
        <v>248</v>
      </c>
      <c r="F90" s="413">
        <v>3</v>
      </c>
      <c r="G90" s="413"/>
      <c r="H90" s="365"/>
      <c r="J90" s="410" t="s">
        <v>386</v>
      </c>
    </row>
    <row r="91" spans="1:10" ht="9.75" customHeight="1">
      <c r="A91" s="410" t="str">
        <f>'12.lan'!D408</f>
        <v>GHA Ghana</v>
      </c>
      <c r="B91" s="410" t="s">
        <v>387</v>
      </c>
      <c r="C91" s="413">
        <f>VLOOKUP(B91,'12.ppp data'!$C$3:$J$273,7,FALSE)</f>
        <v>3.2149076522948876</v>
      </c>
      <c r="D91" s="413" t="str">
        <f>IF(VLOOKUP(B91,'12.ppp data'!$C$3:$J$273,8,FALSE)="est","est","-")</f>
        <v>-</v>
      </c>
      <c r="E91" s="410" t="s">
        <v>251</v>
      </c>
      <c r="F91" s="413">
        <v>3</v>
      </c>
      <c r="G91" s="413"/>
      <c r="H91" s="365"/>
      <c r="J91" s="410" t="s">
        <v>388</v>
      </c>
    </row>
    <row r="92" spans="1:10" ht="9.75" customHeight="1">
      <c r="A92" s="410" t="str">
        <f>'12.lan'!D409</f>
        <v>GIB Gibraltar</v>
      </c>
      <c r="B92" s="410" t="s">
        <v>389</v>
      </c>
      <c r="C92" s="413">
        <f>VLOOKUP(B92,'12.ppp data'!$C$3:$J$273,7,FALSE)</f>
        <v>1.9328616451977572</v>
      </c>
      <c r="D92" s="413" t="str">
        <f>IF(VLOOKUP(B92,'12.ppp data'!$C$3:$J$273,8,FALSE)="est","est","-")</f>
        <v>est</v>
      </c>
      <c r="E92" s="410" t="s">
        <v>254</v>
      </c>
      <c r="F92" s="413">
        <v>2</v>
      </c>
      <c r="G92" s="413" t="s">
        <v>244</v>
      </c>
      <c r="H92" s="365"/>
      <c r="J92" s="410" t="s">
        <v>390</v>
      </c>
    </row>
    <row r="93" spans="1:10" ht="9.75" customHeight="1">
      <c r="A93" s="410" t="str">
        <f>'12.lan'!D410</f>
        <v>GIN Guinea</v>
      </c>
      <c r="B93" s="410" t="s">
        <v>391</v>
      </c>
      <c r="C93" s="413">
        <f>VLOOKUP(B93,'12.ppp data'!$C$3:$J$273,7,FALSE)</f>
        <v>3.0159220685796839</v>
      </c>
      <c r="D93" s="413" t="str">
        <f>IF(VLOOKUP(B93,'12.ppp data'!$C$3:$J$273,8,FALSE)="est","est","-")</f>
        <v>-</v>
      </c>
      <c r="E93" s="410" t="s">
        <v>251</v>
      </c>
      <c r="F93" s="413">
        <v>3.7083333333333335</v>
      </c>
      <c r="G93" s="413" t="s">
        <v>244</v>
      </c>
      <c r="H93" s="365"/>
      <c r="J93" s="410" t="s">
        <v>392</v>
      </c>
    </row>
    <row r="94" spans="1:10" ht="9.75" customHeight="1">
      <c r="A94" s="410" t="str">
        <f>'12.lan'!D411</f>
        <v>GMB Gambia</v>
      </c>
      <c r="B94" s="410" t="s">
        <v>393</v>
      </c>
      <c r="C94" s="413">
        <f>VLOOKUP(B94,'12.ppp data'!$C$3:$J$273,7,FALSE)</f>
        <v>3.8671758828063174</v>
      </c>
      <c r="D94" s="413" t="str">
        <f>IF(VLOOKUP(B94,'12.ppp data'!$C$3:$J$273,8,FALSE)="est","est","-")</f>
        <v>-</v>
      </c>
      <c r="E94" s="410" t="s">
        <v>251</v>
      </c>
      <c r="F94" s="413">
        <v>3.7083333333333335</v>
      </c>
      <c r="G94" s="413" t="s">
        <v>244</v>
      </c>
      <c r="H94" s="365"/>
      <c r="J94" s="410" t="s">
        <v>394</v>
      </c>
    </row>
    <row r="95" spans="1:10" ht="9.75" customHeight="1">
      <c r="A95" s="410" t="str">
        <f>'12.lan'!D412</f>
        <v>GNB Guinea-Bissau</v>
      </c>
      <c r="B95" s="410" t="s">
        <v>395</v>
      </c>
      <c r="C95" s="413">
        <f>VLOOKUP(B95,'12.ppp data'!$C$3:$J$273,7,FALSE)</f>
        <v>2.6513391296403581</v>
      </c>
      <c r="D95" s="413" t="str">
        <f>IF(VLOOKUP(B95,'12.ppp data'!$C$3:$J$273,8,FALSE)="est","est","-")</f>
        <v>-</v>
      </c>
      <c r="E95" s="410" t="s">
        <v>251</v>
      </c>
      <c r="F95" s="413">
        <v>3.7083333333333335</v>
      </c>
      <c r="G95" s="413" t="s">
        <v>244</v>
      </c>
      <c r="H95" s="365"/>
      <c r="I95" s="416"/>
      <c r="J95" s="410" t="s">
        <v>396</v>
      </c>
    </row>
    <row r="96" spans="1:10" ht="9.75" customHeight="1">
      <c r="A96" s="410" t="str">
        <f>'12.lan'!D413</f>
        <v>GNQ Äquatorialguinea</v>
      </c>
      <c r="B96" s="410" t="s">
        <v>397</v>
      </c>
      <c r="C96" s="413">
        <f>VLOOKUP(B96,'12.ppp data'!$C$3:$J$273,7,FALSE)</f>
        <v>2.8447864045525897</v>
      </c>
      <c r="D96" s="413" t="str">
        <f>IF(VLOOKUP(B96,'12.ppp data'!$C$3:$J$273,8,FALSE)="est","est","-")</f>
        <v>-</v>
      </c>
      <c r="E96" s="410" t="s">
        <v>251</v>
      </c>
      <c r="F96" s="413">
        <v>3.7083333333333335</v>
      </c>
      <c r="G96" s="413" t="s">
        <v>244</v>
      </c>
      <c r="H96" s="365"/>
      <c r="J96" s="410" t="s">
        <v>398</v>
      </c>
    </row>
    <row r="97" spans="1:10" ht="9.75" customHeight="1">
      <c r="A97" s="410" t="str">
        <f>'12.lan'!D414</f>
        <v>GRC Griechenland</v>
      </c>
      <c r="B97" s="410" t="s">
        <v>399</v>
      </c>
      <c r="C97" s="413">
        <f>VLOOKUP(B97,'12.ppp data'!$C$3:$J$273,7,FALSE)</f>
        <v>1.6836320657828721</v>
      </c>
      <c r="D97" s="413" t="str">
        <f>IF(VLOOKUP(B97,'12.ppp data'!$C$3:$J$273,8,FALSE)="est","est","-")</f>
        <v>-</v>
      </c>
      <c r="E97" s="410" t="s">
        <v>254</v>
      </c>
      <c r="F97" s="413">
        <v>5</v>
      </c>
      <c r="G97" s="413"/>
      <c r="H97" s="365"/>
      <c r="J97" s="410" t="s">
        <v>400</v>
      </c>
    </row>
    <row r="98" spans="1:10" ht="9.75" customHeight="1">
      <c r="A98" s="410" t="str">
        <f>'12.lan'!D415</f>
        <v>GRD Grenada</v>
      </c>
      <c r="B98" s="410" t="s">
        <v>401</v>
      </c>
      <c r="C98" s="413">
        <f>VLOOKUP(B98,'12.ppp data'!$C$3:$J$273,7,FALSE)</f>
        <v>1.6245427020829402</v>
      </c>
      <c r="D98" s="413" t="str">
        <f>IF(VLOOKUP(B98,'12.ppp data'!$C$3:$J$273,8,FALSE)="est","est","-")</f>
        <v>-</v>
      </c>
      <c r="E98" s="410" t="s">
        <v>245</v>
      </c>
      <c r="F98" s="413">
        <v>3.4210526315789473</v>
      </c>
      <c r="G98" s="413" t="s">
        <v>244</v>
      </c>
      <c r="H98" s="365"/>
      <c r="J98" s="410" t="s">
        <v>402</v>
      </c>
    </row>
    <row r="99" spans="1:10" ht="9.75" customHeight="1">
      <c r="A99" s="410" t="str">
        <f>'12.lan'!D416</f>
        <v>GRL Grönland</v>
      </c>
      <c r="B99" s="410" t="s">
        <v>403</v>
      </c>
      <c r="C99" s="413">
        <f>VLOOKUP(B99,'12.ppp data'!$C$3:$J$273,7,FALSE)</f>
        <v>1.9628994497935313</v>
      </c>
      <c r="D99" s="413" t="str">
        <f>IF(VLOOKUP(B99,'12.ppp data'!$C$3:$J$273,8,FALSE)="est","est","-")</f>
        <v>est</v>
      </c>
      <c r="E99" s="410" t="s">
        <v>245</v>
      </c>
      <c r="F99" s="413">
        <v>3.4210526315789473</v>
      </c>
      <c r="G99" s="413" t="s">
        <v>244</v>
      </c>
      <c r="H99" s="365"/>
      <c r="J99" s="410" t="s">
        <v>404</v>
      </c>
    </row>
    <row r="100" spans="1:10" ht="9.75" customHeight="1">
      <c r="A100" s="410" t="str">
        <f>'12.lan'!D417</f>
        <v>GTM Guatemala</v>
      </c>
      <c r="B100" s="410" t="s">
        <v>405</v>
      </c>
      <c r="C100" s="413">
        <f>VLOOKUP(B100,'12.ppp data'!$C$3:$J$273,7,FALSE)</f>
        <v>2.0127896231417131</v>
      </c>
      <c r="D100" s="413" t="str">
        <f>IF(VLOOKUP(B100,'12.ppp data'!$C$3:$J$273,8,FALSE)="est","est","-")</f>
        <v>-</v>
      </c>
      <c r="E100" s="410" t="s">
        <v>245</v>
      </c>
      <c r="F100" s="413">
        <v>5</v>
      </c>
      <c r="G100" s="413"/>
      <c r="H100" s="365"/>
      <c r="J100" s="410" t="s">
        <v>406</v>
      </c>
    </row>
    <row r="101" spans="1:10" ht="9.75" customHeight="1">
      <c r="A101" s="410" t="str">
        <f>'12.lan'!D418</f>
        <v>GUM Guam</v>
      </c>
      <c r="B101" s="410" t="s">
        <v>407</v>
      </c>
      <c r="C101" s="413">
        <f>VLOOKUP(B101,'12.ppp data'!$C$3:$J$273,7,FALSE)</f>
        <v>1.3563308370936336</v>
      </c>
      <c r="D101" s="413" t="str">
        <f>IF(VLOOKUP(B101,'12.ppp data'!$C$3:$J$273,8,FALSE)="est","est","-")</f>
        <v>est</v>
      </c>
      <c r="E101" s="410" t="s">
        <v>265</v>
      </c>
      <c r="F101" s="413">
        <v>3</v>
      </c>
      <c r="G101" s="413" t="s">
        <v>244</v>
      </c>
      <c r="H101" s="365"/>
      <c r="J101" s="410" t="s">
        <v>408</v>
      </c>
    </row>
    <row r="102" spans="1:10" ht="9.75" customHeight="1">
      <c r="A102" s="410" t="str">
        <f>'12.lan'!D419</f>
        <v>GUY Guyana</v>
      </c>
      <c r="B102" s="410" t="s">
        <v>409</v>
      </c>
      <c r="C102" s="413">
        <f>VLOOKUP(B102,'12.ppp data'!$C$3:$J$273,7,FALSE)</f>
        <v>1.8783649421609236</v>
      </c>
      <c r="D102" s="413" t="str">
        <f>IF(VLOOKUP(B102,'12.ppp data'!$C$3:$J$273,8,FALSE)="est","est","-")</f>
        <v>-</v>
      </c>
      <c r="E102" s="410" t="s">
        <v>245</v>
      </c>
      <c r="F102" s="413">
        <v>3.4210526315789473</v>
      </c>
      <c r="G102" s="413" t="s">
        <v>244</v>
      </c>
      <c r="H102" s="365"/>
      <c r="J102" s="410" t="s">
        <v>410</v>
      </c>
    </row>
    <row r="103" spans="1:10" ht="9.75" customHeight="1">
      <c r="A103" s="410" t="str">
        <f>'12.lan'!D420</f>
        <v>HKG Hongkong</v>
      </c>
      <c r="B103" s="410" t="s">
        <v>411</v>
      </c>
      <c r="C103" s="413">
        <f>VLOOKUP(B103,'12.ppp data'!$C$3:$J$273,7,FALSE)</f>
        <v>1.5045115274191232</v>
      </c>
      <c r="D103" s="413" t="str">
        <f>IF(VLOOKUP(B103,'12.ppp data'!$C$3:$J$273,8,FALSE)="est","est","-")</f>
        <v>-</v>
      </c>
      <c r="E103" s="410" t="s">
        <v>248</v>
      </c>
      <c r="F103" s="413">
        <v>4</v>
      </c>
      <c r="G103" s="413"/>
      <c r="H103" s="365"/>
      <c r="J103" s="410" t="s">
        <v>412</v>
      </c>
    </row>
    <row r="104" spans="1:10" ht="9.75" customHeight="1">
      <c r="A104" s="410" t="str">
        <f>'12.lan'!D421</f>
        <v>HND Honduras</v>
      </c>
      <c r="B104" s="410" t="s">
        <v>413</v>
      </c>
      <c r="C104" s="413">
        <f>VLOOKUP(B104,'12.ppp data'!$C$3:$J$273,7,FALSE)</f>
        <v>2.2357860143794994</v>
      </c>
      <c r="D104" s="413" t="str">
        <f>IF(VLOOKUP(B104,'12.ppp data'!$C$3:$J$273,8,FALSE)="est","est","-")</f>
        <v>-</v>
      </c>
      <c r="E104" s="410" t="s">
        <v>245</v>
      </c>
      <c r="F104" s="413">
        <v>4</v>
      </c>
      <c r="G104" s="413"/>
      <c r="H104" s="365"/>
      <c r="J104" s="410" t="s">
        <v>414</v>
      </c>
    </row>
    <row r="105" spans="1:10" ht="9.75" customHeight="1">
      <c r="A105" s="410" t="str">
        <f>'12.lan'!D422</f>
        <v>HRV Kroatien</v>
      </c>
      <c r="B105" s="410" t="s">
        <v>415</v>
      </c>
      <c r="C105" s="413">
        <f>VLOOKUP(B105,'12.ppp data'!$C$3:$J$273,7,FALSE)</f>
        <v>2.1432779153187802</v>
      </c>
      <c r="D105" s="413" t="str">
        <f>IF(VLOOKUP(B105,'12.ppp data'!$C$3:$J$273,8,FALSE)="est","est","-")</f>
        <v>-</v>
      </c>
      <c r="E105" s="410" t="s">
        <v>254</v>
      </c>
      <c r="F105" s="413">
        <v>2</v>
      </c>
      <c r="G105" s="413"/>
      <c r="H105" s="365"/>
      <c r="J105" s="410" t="s">
        <v>416</v>
      </c>
    </row>
    <row r="106" spans="1:10" ht="9.75" customHeight="1">
      <c r="A106" s="410" t="str">
        <f>'12.lan'!D423</f>
        <v>HTI Haiti</v>
      </c>
      <c r="B106" s="410" t="s">
        <v>417</v>
      </c>
      <c r="C106" s="413">
        <f>VLOOKUP(B106,'12.ppp data'!$C$3:$J$273,7,FALSE)</f>
        <v>2.6149917209239768</v>
      </c>
      <c r="D106" s="413" t="str">
        <f>IF(VLOOKUP(B106,'12.ppp data'!$C$3:$J$273,8,FALSE)="est","est","-")</f>
        <v>-</v>
      </c>
      <c r="E106" s="410" t="s">
        <v>245</v>
      </c>
      <c r="F106" s="413">
        <v>3.4210526315789473</v>
      </c>
      <c r="G106" s="413" t="s">
        <v>244</v>
      </c>
      <c r="H106" s="365"/>
      <c r="J106" s="410" t="s">
        <v>418</v>
      </c>
    </row>
    <row r="107" spans="1:10" ht="9.75" customHeight="1">
      <c r="A107" s="410" t="str">
        <f>'12.lan'!D424</f>
        <v>HUN Ungarn</v>
      </c>
      <c r="B107" s="410" t="s">
        <v>419</v>
      </c>
      <c r="C107" s="413">
        <f>VLOOKUP(B107,'12.ppp data'!$C$3:$J$273,7,FALSE)</f>
        <v>2.2503453362482495</v>
      </c>
      <c r="D107" s="413" t="str">
        <f>IF(VLOOKUP(B107,'12.ppp data'!$C$3:$J$273,8,FALSE)="est","est","-")</f>
        <v>-</v>
      </c>
      <c r="E107" s="410" t="s">
        <v>254</v>
      </c>
      <c r="F107" s="413">
        <v>2</v>
      </c>
      <c r="G107" s="413"/>
      <c r="H107" s="365"/>
      <c r="J107" s="410" t="s">
        <v>420</v>
      </c>
    </row>
    <row r="108" spans="1:10" ht="9.75" customHeight="1">
      <c r="A108" s="410" t="str">
        <f>'12.lan'!D425</f>
        <v>IDN Indonesien</v>
      </c>
      <c r="B108" s="410" t="s">
        <v>421</v>
      </c>
      <c r="C108" s="413">
        <f>VLOOKUP(B108,'12.ppp data'!$C$3:$J$273,7,FALSE)</f>
        <v>3.5949148764649079</v>
      </c>
      <c r="D108" s="413" t="str">
        <f>IF(VLOOKUP(B108,'12.ppp data'!$C$3:$J$273,8,FALSE)="est","est","-")</f>
        <v>-</v>
      </c>
      <c r="E108" s="410" t="s">
        <v>248</v>
      </c>
      <c r="F108" s="413">
        <v>4</v>
      </c>
      <c r="G108" s="413"/>
      <c r="H108" s="365"/>
      <c r="J108" s="410" t="s">
        <v>422</v>
      </c>
    </row>
    <row r="109" spans="1:10" ht="9.75" customHeight="1">
      <c r="A109" s="410" t="str">
        <f>'12.lan'!D426</f>
        <v>IMN Insel Man</v>
      </c>
      <c r="B109" s="410" t="s">
        <v>423</v>
      </c>
      <c r="C109" s="413">
        <f>VLOOKUP(B109,'12.ppp data'!$C$3:$J$273,7,FALSE)</f>
        <v>1.9328616451977572</v>
      </c>
      <c r="D109" s="413" t="str">
        <f>IF(VLOOKUP(B109,'12.ppp data'!$C$3:$J$273,8,FALSE)="est","est","-")</f>
        <v>est</v>
      </c>
      <c r="E109" s="410" t="s">
        <v>254</v>
      </c>
      <c r="F109" s="413">
        <v>2</v>
      </c>
      <c r="G109" s="413" t="s">
        <v>244</v>
      </c>
      <c r="H109" s="365"/>
      <c r="J109" s="410" t="s">
        <v>424</v>
      </c>
    </row>
    <row r="110" spans="1:10" ht="9.75" customHeight="1">
      <c r="A110" s="410" t="str">
        <f>'12.lan'!D427</f>
        <v>IND Indien</v>
      </c>
      <c r="B110" s="410" t="s">
        <v>425</v>
      </c>
      <c r="C110" s="413">
        <f>VLOOKUP(B110,'12.ppp data'!$C$3:$J$273,7,FALSE)</f>
        <v>4.1441016395885688</v>
      </c>
      <c r="D110" s="413" t="str">
        <f>IF(VLOOKUP(B110,'12.ppp data'!$C$3:$J$273,8,FALSE)="est","est","-")</f>
        <v>-</v>
      </c>
      <c r="E110" s="410" t="s">
        <v>248</v>
      </c>
      <c r="F110" s="413">
        <v>5</v>
      </c>
      <c r="G110" s="413"/>
      <c r="H110" s="365"/>
      <c r="J110" s="410" t="s">
        <v>426</v>
      </c>
    </row>
    <row r="111" spans="1:10" ht="9.75" customHeight="1">
      <c r="A111" s="410" t="str">
        <f>'12.lan'!D428</f>
        <v>IRL Irland</v>
      </c>
      <c r="B111" s="410" t="s">
        <v>427</v>
      </c>
      <c r="C111" s="413">
        <f>VLOOKUP(B111,'12.ppp data'!$C$3:$J$273,7,FALSE)</f>
        <v>1.2402454693833003</v>
      </c>
      <c r="D111" s="413" t="str">
        <f>IF(VLOOKUP(B111,'12.ppp data'!$C$3:$J$273,8,FALSE)="est","est","-")</f>
        <v>-</v>
      </c>
      <c r="E111" s="410" t="s">
        <v>254</v>
      </c>
      <c r="F111" s="413">
        <v>2</v>
      </c>
      <c r="G111" s="413"/>
      <c r="H111" s="365"/>
      <c r="J111" s="410" t="s">
        <v>428</v>
      </c>
    </row>
    <row r="112" spans="1:10" ht="9.75" customHeight="1">
      <c r="A112" s="410" t="str">
        <f>'12.lan'!D429</f>
        <v>IRN Iran, Islamische Republik</v>
      </c>
      <c r="B112" s="410" t="s">
        <v>429</v>
      </c>
      <c r="C112" s="413">
        <f>VLOOKUP(B112,'12.ppp data'!$C$3:$J$273,7,FALSE)</f>
        <v>4.2651915869606993</v>
      </c>
      <c r="D112" s="413" t="str">
        <f>IF(VLOOKUP(B112,'12.ppp data'!$C$3:$J$273,8,FALSE)="est","est","-")</f>
        <v>-</v>
      </c>
      <c r="E112" s="410" t="s">
        <v>248</v>
      </c>
      <c r="F112" s="413">
        <v>4</v>
      </c>
      <c r="G112" s="413"/>
      <c r="H112" s="365"/>
      <c r="J112" s="410" t="s">
        <v>430</v>
      </c>
    </row>
    <row r="113" spans="1:10" ht="9.75" customHeight="1">
      <c r="A113" s="410" t="str">
        <f>'12.lan'!D430</f>
        <v>IRQ Irak</v>
      </c>
      <c r="B113" s="410" t="s">
        <v>431</v>
      </c>
      <c r="C113" s="413">
        <f>VLOOKUP(B113,'12.ppp data'!$C$3:$J$273,7,FALSE)</f>
        <v>3.6759877714184279</v>
      </c>
      <c r="D113" s="413" t="str">
        <f>IF(VLOOKUP(B113,'12.ppp data'!$C$3:$J$273,8,FALSE)="est","est","-")</f>
        <v>-</v>
      </c>
      <c r="E113" s="410" t="s">
        <v>248</v>
      </c>
      <c r="F113" s="413">
        <v>4</v>
      </c>
      <c r="G113" s="413"/>
      <c r="H113" s="365"/>
      <c r="I113" s="416"/>
      <c r="J113" s="410" t="s">
        <v>432</v>
      </c>
    </row>
    <row r="114" spans="1:10" ht="9.75" customHeight="1">
      <c r="A114" s="410" t="str">
        <f>'12.lan'!D431</f>
        <v>ISL Island</v>
      </c>
      <c r="B114" s="410" t="s">
        <v>433</v>
      </c>
      <c r="C114" s="413">
        <f>VLOOKUP(B114,'12.ppp data'!$C$3:$J$273,7,FALSE)</f>
        <v>0.8592191515177231</v>
      </c>
      <c r="D114" s="413" t="str">
        <f>IF(VLOOKUP(B114,'12.ppp data'!$C$3:$J$273,8,FALSE)="est","est","-")</f>
        <v>-</v>
      </c>
      <c r="E114" s="410" t="s">
        <v>254</v>
      </c>
      <c r="F114" s="413">
        <v>1</v>
      </c>
      <c r="G114" s="413"/>
      <c r="H114" s="365"/>
      <c r="J114" s="410" t="s">
        <v>434</v>
      </c>
    </row>
    <row r="115" spans="1:10" ht="9.75" customHeight="1">
      <c r="A115" s="410" t="str">
        <f>'12.lan'!D432</f>
        <v>ISR Israel</v>
      </c>
      <c r="B115" s="410" t="s">
        <v>435</v>
      </c>
      <c r="C115" s="413">
        <f>VLOOKUP(B115,'12.ppp data'!$C$3:$J$273,7,FALSE)</f>
        <v>1.0762143045253052</v>
      </c>
      <c r="D115" s="413" t="str">
        <f>IF(VLOOKUP(B115,'12.ppp data'!$C$3:$J$273,8,FALSE)="est","est","-")</f>
        <v>-</v>
      </c>
      <c r="E115" s="410" t="s">
        <v>248</v>
      </c>
      <c r="F115" s="413">
        <v>3</v>
      </c>
      <c r="G115" s="413"/>
      <c r="H115" s="365"/>
      <c r="J115" s="410" t="s">
        <v>436</v>
      </c>
    </row>
    <row r="116" spans="1:10" ht="9.75" customHeight="1">
      <c r="A116" s="410" t="str">
        <f>'12.lan'!D433</f>
        <v>ITA Italien</v>
      </c>
      <c r="B116" s="410" t="s">
        <v>437</v>
      </c>
      <c r="C116" s="413">
        <f>VLOOKUP(B116,'12.ppp data'!$C$3:$J$273,7,FALSE)</f>
        <v>1.4042379902545883</v>
      </c>
      <c r="D116" s="413" t="str">
        <f>IF(VLOOKUP(B116,'12.ppp data'!$C$3:$J$273,8,FALSE)="est","est","-")</f>
        <v>-</v>
      </c>
      <c r="E116" s="410" t="s">
        <v>254</v>
      </c>
      <c r="F116" s="413">
        <v>1</v>
      </c>
      <c r="G116" s="413"/>
      <c r="H116" s="365"/>
      <c r="J116" s="410" t="s">
        <v>438</v>
      </c>
    </row>
    <row r="117" spans="1:10" ht="9.75" customHeight="1">
      <c r="A117" s="410" t="str">
        <f>'12.lan'!D434</f>
        <v>JAM Jamaika</v>
      </c>
      <c r="B117" s="410" t="s">
        <v>439</v>
      </c>
      <c r="C117" s="413">
        <f>VLOOKUP(B117,'12.ppp data'!$C$3:$J$273,7,FALSE)</f>
        <v>1.971695940369244</v>
      </c>
      <c r="D117" s="413" t="str">
        <f>IF(VLOOKUP(B117,'12.ppp data'!$C$3:$J$273,8,FALSE)="est","est","-")</f>
        <v>-</v>
      </c>
      <c r="E117" s="410" t="s">
        <v>245</v>
      </c>
      <c r="F117" s="413">
        <v>3.4210526315789473</v>
      </c>
      <c r="G117" s="413" t="s">
        <v>244</v>
      </c>
      <c r="H117" s="365"/>
      <c r="J117" s="410" t="s">
        <v>440</v>
      </c>
    </row>
    <row r="118" spans="1:10" ht="9.75" customHeight="1">
      <c r="A118" s="410" t="str">
        <f>'12.lan'!D435</f>
        <v>JOR Jordanien</v>
      </c>
      <c r="B118" s="410" t="s">
        <v>441</v>
      </c>
      <c r="C118" s="413">
        <f>VLOOKUP(B118,'12.ppp data'!$C$3:$J$273,7,FALSE)</f>
        <v>2.4925530650495307</v>
      </c>
      <c r="D118" s="413" t="str">
        <f>IF(VLOOKUP(B118,'12.ppp data'!$C$3:$J$273,8,FALSE)="est","est","-")</f>
        <v>-</v>
      </c>
      <c r="E118" s="410" t="s">
        <v>248</v>
      </c>
      <c r="F118" s="413">
        <v>4</v>
      </c>
      <c r="G118" s="413"/>
      <c r="H118" s="365"/>
      <c r="J118" s="410" t="s">
        <v>442</v>
      </c>
    </row>
    <row r="119" spans="1:10" ht="9.75" customHeight="1">
      <c r="A119" s="410" t="str">
        <f>'12.lan'!D436</f>
        <v>JPN Japan</v>
      </c>
      <c r="B119" s="410" t="s">
        <v>443</v>
      </c>
      <c r="C119" s="413">
        <f>VLOOKUP(B119,'12.ppp data'!$C$3:$J$273,7,FALSE)</f>
        <v>1.289408120101881</v>
      </c>
      <c r="D119" s="413" t="str">
        <f>IF(VLOOKUP(B119,'12.ppp data'!$C$3:$J$273,8,FALSE)="est","est","-")</f>
        <v>-</v>
      </c>
      <c r="E119" s="410" t="s">
        <v>248</v>
      </c>
      <c r="F119" s="413">
        <v>2</v>
      </c>
      <c r="G119" s="413"/>
      <c r="H119" s="365"/>
      <c r="J119" s="410" t="s">
        <v>444</v>
      </c>
    </row>
    <row r="120" spans="1:10" ht="9.75" customHeight="1">
      <c r="A120" s="410" t="str">
        <f>'12.lan'!D437</f>
        <v>KAZ Kasachstan</v>
      </c>
      <c r="B120" s="410" t="s">
        <v>445</v>
      </c>
      <c r="C120" s="413">
        <f>VLOOKUP(B120,'12.ppp data'!$C$3:$J$273,7,FALSE)</f>
        <v>3.3588315181911566</v>
      </c>
      <c r="D120" s="413" t="str">
        <f>IF(VLOOKUP(B120,'12.ppp data'!$C$3:$J$273,8,FALSE)="est","est","-")</f>
        <v>-</v>
      </c>
      <c r="E120" s="410" t="s">
        <v>248</v>
      </c>
      <c r="F120" s="413">
        <v>4.1785714285714288</v>
      </c>
      <c r="G120" s="413" t="s">
        <v>244</v>
      </c>
      <c r="H120" s="365"/>
      <c r="J120" s="410" t="s">
        <v>446</v>
      </c>
    </row>
    <row r="121" spans="1:10" ht="9.75" customHeight="1">
      <c r="A121" s="410" t="str">
        <f>'12.lan'!D438</f>
        <v>KEN Kenia</v>
      </c>
      <c r="B121" s="410" t="s">
        <v>447</v>
      </c>
      <c r="C121" s="413">
        <f>VLOOKUP(B121,'12.ppp data'!$C$3:$J$273,7,FALSE)</f>
        <v>2.4223625817382604</v>
      </c>
      <c r="D121" s="413" t="str">
        <f>IF(VLOOKUP(B121,'12.ppp data'!$C$3:$J$273,8,FALSE)="est","est","-")</f>
        <v>-</v>
      </c>
      <c r="E121" s="410" t="s">
        <v>251</v>
      </c>
      <c r="F121" s="413">
        <v>4</v>
      </c>
      <c r="G121" s="413"/>
      <c r="H121" s="365"/>
      <c r="J121" s="410" t="s">
        <v>448</v>
      </c>
    </row>
    <row r="122" spans="1:10" ht="9.75" customHeight="1">
      <c r="A122" s="410" t="str">
        <f>'12.lan'!D439</f>
        <v>KGZ Kirgisistan</v>
      </c>
      <c r="B122" s="410" t="s">
        <v>449</v>
      </c>
      <c r="C122" s="413">
        <f>VLOOKUP(B122,'12.ppp data'!$C$3:$J$273,7,FALSE)</f>
        <v>3.4494948712057099</v>
      </c>
      <c r="D122" s="413" t="str">
        <f>IF(VLOOKUP(B122,'12.ppp data'!$C$3:$J$273,8,FALSE)="est","est","-")</f>
        <v>-</v>
      </c>
      <c r="E122" s="410" t="s">
        <v>248</v>
      </c>
      <c r="F122" s="413">
        <v>4.1785714285714288</v>
      </c>
      <c r="G122" s="413" t="s">
        <v>244</v>
      </c>
      <c r="H122" s="365"/>
      <c r="J122" s="410" t="s">
        <v>450</v>
      </c>
    </row>
    <row r="123" spans="1:10" ht="9.75" customHeight="1">
      <c r="A123" s="410" t="str">
        <f>'12.lan'!D440</f>
        <v>KHM Kambodscha</v>
      </c>
      <c r="B123" s="410" t="s">
        <v>451</v>
      </c>
      <c r="C123" s="413">
        <f>VLOOKUP(B123,'12.ppp data'!$C$3:$J$273,7,FALSE)</f>
        <v>3.2098097333169209</v>
      </c>
      <c r="D123" s="413" t="str">
        <f>IF(VLOOKUP(B123,'12.ppp data'!$C$3:$J$273,8,FALSE)="est","est","-")</f>
        <v>-</v>
      </c>
      <c r="E123" s="410" t="s">
        <v>248</v>
      </c>
      <c r="F123" s="413">
        <v>5</v>
      </c>
      <c r="G123" s="413"/>
      <c r="H123" s="365"/>
      <c r="J123" s="410" t="s">
        <v>452</v>
      </c>
    </row>
    <row r="124" spans="1:10" ht="9.75" customHeight="1">
      <c r="A124" s="410" t="str">
        <f>'12.lan'!D441</f>
        <v>KIR Kiribati</v>
      </c>
      <c r="B124" s="410" t="s">
        <v>453</v>
      </c>
      <c r="C124" s="413">
        <f>VLOOKUP(B124,'12.ppp data'!$C$3:$J$273,7,FALSE)</f>
        <v>1.4578886144399337</v>
      </c>
      <c r="D124" s="413" t="str">
        <f>IF(VLOOKUP(B124,'12.ppp data'!$C$3:$J$273,8,FALSE)="est","est","-")</f>
        <v>-</v>
      </c>
      <c r="E124" s="410" t="s">
        <v>265</v>
      </c>
      <c r="F124" s="413">
        <v>3</v>
      </c>
      <c r="G124" s="413" t="s">
        <v>244</v>
      </c>
      <c r="H124" s="365"/>
      <c r="J124" s="410" t="s">
        <v>454</v>
      </c>
    </row>
    <row r="125" spans="1:10" ht="9.75" customHeight="1">
      <c r="A125" s="410" t="str">
        <f>'12.lan'!D442</f>
        <v>KNA St. Kitts und Nevis</v>
      </c>
      <c r="B125" s="410" t="s">
        <v>455</v>
      </c>
      <c r="C125" s="413">
        <f>VLOOKUP(B125,'12.ppp data'!$C$3:$J$273,7,FALSE)</f>
        <v>1.7888565277997799</v>
      </c>
      <c r="D125" s="413" t="str">
        <f>IF(VLOOKUP(B125,'12.ppp data'!$C$3:$J$273,8,FALSE)="est","est","-")</f>
        <v>-</v>
      </c>
      <c r="E125" s="410" t="s">
        <v>245</v>
      </c>
      <c r="F125" s="413">
        <v>3.4210526315789473</v>
      </c>
      <c r="G125" s="413" t="s">
        <v>244</v>
      </c>
      <c r="H125" s="365"/>
      <c r="J125" s="410" t="s">
        <v>456</v>
      </c>
    </row>
    <row r="126" spans="1:10" ht="9.75" customHeight="1">
      <c r="A126" s="410" t="str">
        <f>'12.lan'!D443</f>
        <v>KOR Korea, Republik (Südkorea)</v>
      </c>
      <c r="B126" s="410" t="s">
        <v>457</v>
      </c>
      <c r="C126" s="413">
        <f>VLOOKUP(B126,'12.ppp data'!$C$3:$J$273,7,FALSE)</f>
        <v>1.4506518569594702</v>
      </c>
      <c r="D126" s="413" t="str">
        <f>IF(VLOOKUP(B126,'12.ppp data'!$C$3:$J$273,8,FALSE)="est","est","-")</f>
        <v>-</v>
      </c>
      <c r="E126" s="410" t="s">
        <v>248</v>
      </c>
      <c r="F126" s="413">
        <v>5</v>
      </c>
      <c r="G126" s="413"/>
      <c r="H126" s="365"/>
      <c r="J126" s="410" t="s">
        <v>458</v>
      </c>
    </row>
    <row r="127" spans="1:10" ht="9.75" customHeight="1">
      <c r="A127" s="410" t="str">
        <f>'12.lan'!D444</f>
        <v>KWT Kuwait</v>
      </c>
      <c r="B127" s="410" t="s">
        <v>459</v>
      </c>
      <c r="C127" s="413">
        <f>VLOOKUP(B127,'12.ppp data'!$C$3:$J$273,7,FALSE)</f>
        <v>2.7936161920559552</v>
      </c>
      <c r="D127" s="413" t="str">
        <f>IF(VLOOKUP(B127,'12.ppp data'!$C$3:$J$273,8,FALSE)="est","est","-")</f>
        <v>-</v>
      </c>
      <c r="E127" s="410" t="s">
        <v>248</v>
      </c>
      <c r="F127" s="413">
        <v>4.1785714285714288</v>
      </c>
      <c r="G127" s="413" t="s">
        <v>244</v>
      </c>
      <c r="H127" s="365"/>
      <c r="J127" s="410" t="s">
        <v>460</v>
      </c>
    </row>
    <row r="128" spans="1:10" ht="9.75" customHeight="1">
      <c r="A128" s="410" t="str">
        <f>'12.lan'!D445</f>
        <v>LAO Laos, Demokratische Volksrepublik</v>
      </c>
      <c r="B128" s="410" t="s">
        <v>461</v>
      </c>
      <c r="C128" s="413">
        <f>VLOOKUP(B128,'12.ppp data'!$C$3:$J$273,7,FALSE)</f>
        <v>3.1322620381478607</v>
      </c>
      <c r="D128" s="413" t="str">
        <f>IF(VLOOKUP(B128,'12.ppp data'!$C$3:$J$273,8,FALSE)="est","est","-")</f>
        <v>-</v>
      </c>
      <c r="E128" s="410" t="s">
        <v>248</v>
      </c>
      <c r="F128" s="413">
        <v>4.1785714285714288</v>
      </c>
      <c r="G128" s="413" t="s">
        <v>244</v>
      </c>
      <c r="H128" s="365"/>
      <c r="J128" s="410" t="s">
        <v>462</v>
      </c>
    </row>
    <row r="129" spans="1:10" ht="9.75" customHeight="1">
      <c r="A129" s="410" t="str">
        <f>'12.lan'!D446</f>
        <v>LBN Libanon</v>
      </c>
      <c r="B129" s="410" t="s">
        <v>463</v>
      </c>
      <c r="C129" s="413">
        <f>VLOOKUP(B129,'12.ppp data'!$C$3:$J$273,7,FALSE)</f>
        <v>1.9167268969756734</v>
      </c>
      <c r="D129" s="413" t="str">
        <f>IF(VLOOKUP(B129,'12.ppp data'!$C$3:$J$273,8,FALSE)="est","est","-")</f>
        <v>-</v>
      </c>
      <c r="E129" s="410" t="s">
        <v>248</v>
      </c>
      <c r="F129" s="413">
        <v>4</v>
      </c>
      <c r="G129" s="413"/>
      <c r="H129" s="365"/>
      <c r="J129" s="410" t="s">
        <v>464</v>
      </c>
    </row>
    <row r="130" spans="1:10" ht="9.75" customHeight="1">
      <c r="A130" s="410" t="str">
        <f>'12.lan'!D447</f>
        <v>LBR Liberia</v>
      </c>
      <c r="B130" s="410" t="s">
        <v>465</v>
      </c>
      <c r="C130" s="413">
        <f>VLOOKUP(B130,'12.ppp data'!$C$3:$J$273,7,FALSE)</f>
        <v>3.0325616327831186</v>
      </c>
      <c r="D130" s="413" t="str">
        <f>IF(VLOOKUP(B130,'12.ppp data'!$C$3:$J$273,8,FALSE)="est","est","-")</f>
        <v>est</v>
      </c>
      <c r="E130" s="410" t="s">
        <v>251</v>
      </c>
      <c r="F130" s="413">
        <v>3.7083333333333335</v>
      </c>
      <c r="G130" s="413" t="s">
        <v>244</v>
      </c>
      <c r="H130" s="365"/>
      <c r="J130" s="410" t="s">
        <v>466</v>
      </c>
    </row>
    <row r="131" spans="1:10" ht="9.75" customHeight="1">
      <c r="A131" s="410" t="str">
        <f>'12.lan'!D448</f>
        <v>LBY Libyen</v>
      </c>
      <c r="B131" s="410" t="s">
        <v>467</v>
      </c>
      <c r="C131" s="413">
        <f>VLOOKUP(B131,'12.ppp data'!$C$3:$J$273,7,FALSE)</f>
        <v>2.7429361769978748</v>
      </c>
      <c r="D131" s="413" t="str">
        <f>IF(VLOOKUP(B131,'12.ppp data'!$C$3:$J$273,8,FALSE)="est","est","-")</f>
        <v>-</v>
      </c>
      <c r="E131" s="410" t="s">
        <v>251</v>
      </c>
      <c r="F131" s="413">
        <v>6</v>
      </c>
      <c r="G131" s="413"/>
      <c r="H131" s="365"/>
      <c r="J131" s="410" t="s">
        <v>468</v>
      </c>
    </row>
    <row r="132" spans="1:10" ht="9.75" customHeight="1">
      <c r="A132" s="410" t="str">
        <f>'12.lan'!D449</f>
        <v>LCA St. Lucia</v>
      </c>
      <c r="B132" s="410" t="s">
        <v>469</v>
      </c>
      <c r="C132" s="413">
        <f>VLOOKUP(B132,'12.ppp data'!$C$3:$J$273,7,FALSE)</f>
        <v>1.6774576013408569</v>
      </c>
      <c r="D132" s="413" t="str">
        <f>IF(VLOOKUP(B132,'12.ppp data'!$C$3:$J$273,8,FALSE)="est","est","-")</f>
        <v>-</v>
      </c>
      <c r="E132" s="410" t="s">
        <v>245</v>
      </c>
      <c r="F132" s="413">
        <v>3.4210526315789473</v>
      </c>
      <c r="G132" s="413" t="s">
        <v>244</v>
      </c>
      <c r="H132" s="365"/>
      <c r="J132" s="410" t="s">
        <v>470</v>
      </c>
    </row>
    <row r="133" spans="1:10" ht="9.75" customHeight="1">
      <c r="A133" s="410" t="str">
        <f>'12.lan'!D450</f>
        <v>LIE Liechtenstein</v>
      </c>
      <c r="B133" s="410" t="s">
        <v>471</v>
      </c>
      <c r="C133" s="413">
        <f>VLOOKUP(B133,'12.ppp data'!$C$3:$J$273,7,FALSE)</f>
        <v>1.9328616451977572</v>
      </c>
      <c r="D133" s="413" t="str">
        <f>IF(VLOOKUP(B133,'12.ppp data'!$C$3:$J$273,8,FALSE)="est","est","-")</f>
        <v>est</v>
      </c>
      <c r="E133" s="410" t="s">
        <v>254</v>
      </c>
      <c r="F133" s="413">
        <v>2</v>
      </c>
      <c r="G133" s="413" t="s">
        <v>244</v>
      </c>
      <c r="H133" s="365"/>
      <c r="J133" s="410" t="s">
        <v>472</v>
      </c>
    </row>
    <row r="134" spans="1:10" ht="9.75" customHeight="1">
      <c r="A134" s="410" t="str">
        <f>'12.lan'!D451</f>
        <v>LKA Sri Lanka</v>
      </c>
      <c r="B134" s="410" t="s">
        <v>473</v>
      </c>
      <c r="C134" s="413">
        <f>VLOOKUP(B134,'12.ppp data'!$C$3:$J$273,7,FALSE)</f>
        <v>3.5153613362075382</v>
      </c>
      <c r="D134" s="413" t="str">
        <f>IF(VLOOKUP(B134,'12.ppp data'!$C$3:$J$273,8,FALSE)="est","est","-")</f>
        <v>-</v>
      </c>
      <c r="E134" s="410" t="s">
        <v>248</v>
      </c>
      <c r="F134" s="413">
        <v>3</v>
      </c>
      <c r="G134" s="413"/>
      <c r="J134" s="410" t="s">
        <v>474</v>
      </c>
    </row>
    <row r="135" spans="1:10" ht="9.75" customHeight="1">
      <c r="A135" s="410" t="str">
        <f>'12.lan'!D452</f>
        <v>LSO Lesotho</v>
      </c>
      <c r="B135" s="410" t="s">
        <v>475</v>
      </c>
      <c r="C135" s="413">
        <f>VLOOKUP(B135,'12.ppp data'!$C$3:$J$273,7,FALSE)</f>
        <v>2.9838131733892213</v>
      </c>
      <c r="D135" s="413" t="str">
        <f>IF(VLOOKUP(B135,'12.ppp data'!$C$3:$J$273,8,FALSE)="est","est","-")</f>
        <v>-</v>
      </c>
      <c r="E135" s="410" t="s">
        <v>251</v>
      </c>
      <c r="F135" s="413">
        <v>3.7083333333333335</v>
      </c>
      <c r="G135" s="413" t="s">
        <v>244</v>
      </c>
      <c r="J135" s="410" t="s">
        <v>476</v>
      </c>
    </row>
    <row r="136" spans="1:10" ht="9.75" customHeight="1">
      <c r="A136" s="410" t="str">
        <f>'12.lan'!D453</f>
        <v>LTU Litauen</v>
      </c>
      <c r="B136" s="410" t="s">
        <v>477</v>
      </c>
      <c r="C136" s="413">
        <f>VLOOKUP(B136,'12.ppp data'!$C$3:$J$273,7,FALSE)</f>
        <v>2.1680617670991795</v>
      </c>
      <c r="D136" s="413" t="str">
        <f>IF(VLOOKUP(B136,'12.ppp data'!$C$3:$J$273,8,FALSE)="est","est","-")</f>
        <v>-</v>
      </c>
      <c r="E136" s="410" t="s">
        <v>254</v>
      </c>
      <c r="F136" s="413">
        <v>1</v>
      </c>
      <c r="G136" s="413"/>
      <c r="J136" s="410" t="s">
        <v>478</v>
      </c>
    </row>
    <row r="137" spans="1:10" ht="12.75" customHeight="1">
      <c r="A137" s="410" t="str">
        <f>'12.lan'!D454</f>
        <v>LUX Luxemburg</v>
      </c>
      <c r="B137" s="410" t="s">
        <v>479</v>
      </c>
      <c r="C137" s="413">
        <f>VLOOKUP(B137,'12.ppp data'!$C$3:$J$273,7,FALSE)</f>
        <v>1.1221140628944932</v>
      </c>
      <c r="D137" s="413" t="str">
        <f>IF(VLOOKUP(B137,'12.ppp data'!$C$3:$J$273,8,FALSE)="est","est","-")</f>
        <v>-</v>
      </c>
      <c r="E137" s="410" t="s">
        <v>254</v>
      </c>
      <c r="F137" s="413">
        <v>2</v>
      </c>
      <c r="G137" s="413" t="s">
        <v>244</v>
      </c>
      <c r="H137" s="417"/>
      <c r="I137" s="417"/>
      <c r="J137" s="410" t="s">
        <v>480</v>
      </c>
    </row>
    <row r="138" spans="1:10" ht="9.75" customHeight="1">
      <c r="A138" s="410" t="str">
        <f>'12.lan'!D455</f>
        <v>LVA Lettland</v>
      </c>
      <c r="B138" s="410" t="s">
        <v>481</v>
      </c>
      <c r="C138" s="413">
        <f>VLOOKUP(B138,'12.ppp data'!$C$3:$J$273,7,FALSE)</f>
        <v>1.9943396855928879</v>
      </c>
      <c r="D138" s="413" t="str">
        <f>IF(VLOOKUP(B138,'12.ppp data'!$C$3:$J$273,8,FALSE)="est","est","-")</f>
        <v>-</v>
      </c>
      <c r="E138" s="410" t="s">
        <v>254</v>
      </c>
      <c r="F138" s="413">
        <v>2</v>
      </c>
      <c r="G138" s="413"/>
      <c r="H138" s="365"/>
      <c r="J138" s="410" t="s">
        <v>482</v>
      </c>
    </row>
    <row r="139" spans="1:10" ht="9.75" customHeight="1">
      <c r="A139" s="410" t="str">
        <f>'12.lan'!D456</f>
        <v>MAC Macao</v>
      </c>
      <c r="B139" s="410" t="s">
        <v>483</v>
      </c>
      <c r="C139" s="413">
        <f>VLOOKUP(B139,'12.ppp data'!$C$3:$J$273,7,FALSE)</f>
        <v>1.5732384462091706</v>
      </c>
      <c r="D139" s="413" t="str">
        <f>IF(VLOOKUP(B139,'12.ppp data'!$C$3:$J$273,8,FALSE)="est","est","-")</f>
        <v>-</v>
      </c>
      <c r="E139" s="410" t="s">
        <v>248</v>
      </c>
      <c r="F139" s="413">
        <v>4.1785714285714288</v>
      </c>
      <c r="G139" s="413" t="s">
        <v>244</v>
      </c>
      <c r="H139" s="365"/>
      <c r="J139" s="410" t="s">
        <v>484</v>
      </c>
    </row>
    <row r="140" spans="1:10" ht="9.75" customHeight="1">
      <c r="A140" s="410" t="str">
        <f>'12.lan'!D457</f>
        <v>MAF Saint-Martin (franz. Teil)</v>
      </c>
      <c r="B140" s="410" t="s">
        <v>485</v>
      </c>
      <c r="C140" s="413">
        <f>VLOOKUP(B140,'12.ppp data'!$C$3:$J$273,7,FALSE)</f>
        <v>1.9628994497935313</v>
      </c>
      <c r="D140" s="413" t="str">
        <f>IF(VLOOKUP(B140,'12.ppp data'!$C$3:$J$273,8,FALSE)="est","est","-")</f>
        <v>est</v>
      </c>
      <c r="E140" s="410" t="s">
        <v>245</v>
      </c>
      <c r="F140" s="413">
        <v>3.4210526315789473</v>
      </c>
      <c r="G140" s="413" t="s">
        <v>244</v>
      </c>
      <c r="H140" s="365"/>
      <c r="J140" s="410" t="s">
        <v>486</v>
      </c>
    </row>
    <row r="141" spans="1:10" ht="9.75" customHeight="1">
      <c r="A141" s="410" t="str">
        <f>'12.lan'!D458</f>
        <v>MAR Marokko</v>
      </c>
      <c r="B141" s="410" t="s">
        <v>487</v>
      </c>
      <c r="C141" s="413">
        <f>VLOOKUP(B141,'12.ppp data'!$C$3:$J$273,7,FALSE)</f>
        <v>3.0507020343760036</v>
      </c>
      <c r="D141" s="413" t="str">
        <f>IF(VLOOKUP(B141,'12.ppp data'!$C$3:$J$273,8,FALSE)="est","est","-")</f>
        <v>-</v>
      </c>
      <c r="E141" s="410" t="s">
        <v>251</v>
      </c>
      <c r="F141" s="413">
        <v>4</v>
      </c>
      <c r="G141" s="413"/>
      <c r="H141" s="365"/>
      <c r="J141" s="410" t="s">
        <v>488</v>
      </c>
    </row>
    <row r="142" spans="1:10" ht="9.75" customHeight="1">
      <c r="A142" s="410" t="str">
        <f>'12.lan'!D459</f>
        <v>MCO Monaco</v>
      </c>
      <c r="B142" s="410" t="s">
        <v>489</v>
      </c>
      <c r="C142" s="413">
        <f>VLOOKUP(B142,'12.ppp data'!$C$3:$J$273,7,FALSE)</f>
        <v>1.9328616451977572</v>
      </c>
      <c r="D142" s="413" t="str">
        <f>IF(VLOOKUP(B142,'12.ppp data'!$C$3:$J$273,8,FALSE)="est","est","-")</f>
        <v>est</v>
      </c>
      <c r="E142" s="410" t="s">
        <v>254</v>
      </c>
      <c r="F142" s="413">
        <v>2</v>
      </c>
      <c r="G142" s="413" t="s">
        <v>244</v>
      </c>
      <c r="H142" s="365"/>
      <c r="J142" s="410" t="s">
        <v>490</v>
      </c>
    </row>
    <row r="143" spans="1:10" ht="9.75" customHeight="1">
      <c r="A143" s="410" t="str">
        <f>'12.lan'!D460</f>
        <v>MDA Moldawien (Republik Moldau)</v>
      </c>
      <c r="B143" s="410" t="s">
        <v>491</v>
      </c>
      <c r="C143" s="413">
        <f>VLOOKUP(B143,'12.ppp data'!$C$3:$J$273,7,FALSE)</f>
        <v>2.7670105137219925</v>
      </c>
      <c r="D143" s="413" t="str">
        <f>IF(VLOOKUP(B143,'12.ppp data'!$C$3:$J$273,8,FALSE)="est","est","-")</f>
        <v>-</v>
      </c>
      <c r="E143" s="410" t="s">
        <v>254</v>
      </c>
      <c r="F143" s="413">
        <v>2</v>
      </c>
      <c r="G143" s="413" t="s">
        <v>244</v>
      </c>
      <c r="H143" s="365"/>
      <c r="J143" s="410" t="s">
        <v>492</v>
      </c>
    </row>
    <row r="144" spans="1:10" ht="9.75" customHeight="1">
      <c r="A144" s="410" t="str">
        <f>'12.lan'!D461</f>
        <v>MDG Madagaskar</v>
      </c>
      <c r="B144" s="410" t="s">
        <v>493</v>
      </c>
      <c r="C144" s="413">
        <f>VLOOKUP(B144,'12.ppp data'!$C$3:$J$273,7,FALSE)</f>
        <v>3.8637777031581284</v>
      </c>
      <c r="D144" s="413" t="str">
        <f>IF(VLOOKUP(B144,'12.ppp data'!$C$3:$J$273,8,FALSE)="est","est","-")</f>
        <v>-</v>
      </c>
      <c r="E144" s="410" t="s">
        <v>251</v>
      </c>
      <c r="F144" s="413">
        <v>3.7083333333333335</v>
      </c>
      <c r="G144" s="413" t="s">
        <v>244</v>
      </c>
      <c r="H144" s="365"/>
      <c r="J144" s="410" t="s">
        <v>494</v>
      </c>
    </row>
    <row r="145" spans="1:10" ht="9.75" customHeight="1">
      <c r="A145" s="410" t="str">
        <f>'12.lan'!D462</f>
        <v>MDV Malediven</v>
      </c>
      <c r="B145" s="410" t="s">
        <v>495</v>
      </c>
      <c r="C145" s="413">
        <f>VLOOKUP(B145,'12.ppp data'!$C$3:$J$273,7,FALSE)</f>
        <v>1.7711325139780212</v>
      </c>
      <c r="D145" s="413" t="str">
        <f>IF(VLOOKUP(B145,'12.ppp data'!$C$3:$J$273,8,FALSE)="est","est","-")</f>
        <v>-</v>
      </c>
      <c r="E145" s="410" t="s">
        <v>248</v>
      </c>
      <c r="F145" s="413">
        <v>4.1785714285714288</v>
      </c>
      <c r="G145" s="413" t="s">
        <v>244</v>
      </c>
      <c r="H145" s="365"/>
      <c r="J145" s="410" t="s">
        <v>496</v>
      </c>
    </row>
    <row r="146" spans="1:10" ht="9.75" customHeight="1">
      <c r="A146" s="410" t="str">
        <f>'12.lan'!D463</f>
        <v>MEX Mexiko</v>
      </c>
      <c r="B146" s="410" t="s">
        <v>497</v>
      </c>
      <c r="C146" s="413">
        <f>VLOOKUP(B146,'12.ppp data'!$C$3:$J$273,7,FALSE)</f>
        <v>2.2994533112823494</v>
      </c>
      <c r="D146" s="413" t="str">
        <f>IF(VLOOKUP(B146,'12.ppp data'!$C$3:$J$273,8,FALSE)="est","est","-")</f>
        <v>-</v>
      </c>
      <c r="E146" s="410" t="s">
        <v>245</v>
      </c>
      <c r="F146" s="413">
        <v>4</v>
      </c>
      <c r="G146" s="413"/>
      <c r="H146" s="365"/>
      <c r="J146" s="410" t="s">
        <v>498</v>
      </c>
    </row>
    <row r="147" spans="1:10" ht="9.75" customHeight="1">
      <c r="A147" s="410" t="str">
        <f>'12.lan'!D464</f>
        <v>MHL Marshallinseln</v>
      </c>
      <c r="B147" s="410" t="s">
        <v>499</v>
      </c>
      <c r="C147" s="413">
        <f>VLOOKUP(B147,'12.ppp data'!$C$3:$J$273,7,FALSE)</f>
        <v>1.2618033753819571</v>
      </c>
      <c r="D147" s="413" t="str">
        <f>IF(VLOOKUP(B147,'12.ppp data'!$C$3:$J$273,8,FALSE)="est","est","-")</f>
        <v>-</v>
      </c>
      <c r="E147" s="410" t="s">
        <v>265</v>
      </c>
      <c r="F147" s="413">
        <v>3</v>
      </c>
      <c r="G147" s="413" t="s">
        <v>244</v>
      </c>
      <c r="H147" s="365"/>
      <c r="J147" s="410" t="s">
        <v>500</v>
      </c>
    </row>
    <row r="148" spans="1:10" ht="9.75" customHeight="1">
      <c r="A148" s="410" t="str">
        <f>'12.lan'!D465</f>
        <v>MKD Mazedonien</v>
      </c>
      <c r="B148" s="410" t="s">
        <v>501</v>
      </c>
      <c r="C148" s="413">
        <f>VLOOKUP(B148,'12.ppp data'!$C$3:$J$273,7,FALSE)</f>
        <v>3.1366359337907035</v>
      </c>
      <c r="D148" s="413" t="str">
        <f>IF(VLOOKUP(B148,'12.ppp data'!$C$3:$J$273,8,FALSE)="est","est","-")</f>
        <v>-</v>
      </c>
      <c r="E148" s="410" t="s">
        <v>254</v>
      </c>
      <c r="F148" s="413">
        <v>2</v>
      </c>
      <c r="G148" s="413" t="s">
        <v>244</v>
      </c>
      <c r="H148" s="365"/>
      <c r="J148" s="410" t="s">
        <v>502</v>
      </c>
    </row>
    <row r="149" spans="1:10" ht="9.75" customHeight="1">
      <c r="A149" s="410" t="str">
        <f>'12.lan'!D466</f>
        <v>MLI Mali</v>
      </c>
      <c r="B149" s="410" t="s">
        <v>503</v>
      </c>
      <c r="C149" s="413">
        <f>VLOOKUP(B149,'12.ppp data'!$C$3:$J$273,7,FALSE)</f>
        <v>3.0266697017457096</v>
      </c>
      <c r="D149" s="413" t="str">
        <f>IF(VLOOKUP(B149,'12.ppp data'!$C$3:$J$273,8,FALSE)="est","est","-")</f>
        <v>-</v>
      </c>
      <c r="E149" s="410" t="s">
        <v>251</v>
      </c>
      <c r="F149" s="413">
        <v>3.7083333333333335</v>
      </c>
      <c r="G149" s="413" t="s">
        <v>244</v>
      </c>
      <c r="H149" s="365"/>
      <c r="J149" s="410" t="s">
        <v>504</v>
      </c>
    </row>
    <row r="150" spans="1:10" ht="9.75" customHeight="1">
      <c r="A150" s="410" t="str">
        <f>'12.lan'!D467</f>
        <v>MLT Malta</v>
      </c>
      <c r="B150" s="410" t="s">
        <v>505</v>
      </c>
      <c r="C150" s="413">
        <f>VLOOKUP(B150,'12.ppp data'!$C$3:$J$273,7,FALSE)</f>
        <v>0.71108892792764722</v>
      </c>
      <c r="D150" s="413" t="str">
        <f>IF(VLOOKUP(B150,'12.ppp data'!$C$3:$J$273,8,FALSE)="est","est","-")</f>
        <v>-</v>
      </c>
      <c r="E150" s="410" t="s">
        <v>254</v>
      </c>
      <c r="F150" s="413">
        <v>2</v>
      </c>
      <c r="G150" s="413" t="s">
        <v>244</v>
      </c>
      <c r="H150" s="365"/>
      <c r="J150" s="410" t="s">
        <v>506</v>
      </c>
    </row>
    <row r="151" spans="1:10" ht="9.75" customHeight="1">
      <c r="A151" s="410" t="str">
        <f>'12.lan'!D468</f>
        <v>MMR Myanmar (Burma)</v>
      </c>
      <c r="B151" s="410" t="s">
        <v>507</v>
      </c>
      <c r="C151" s="413">
        <f>VLOOKUP(B151,'12.ppp data'!$C$3:$J$273,7,FALSE)</f>
        <v>5.315535822941885</v>
      </c>
      <c r="D151" s="413" t="str">
        <f>IF(VLOOKUP(B151,'12.ppp data'!$C$3:$J$273,8,FALSE)="est","est","-")</f>
        <v>-</v>
      </c>
      <c r="E151" s="410" t="s">
        <v>248</v>
      </c>
      <c r="F151" s="413">
        <v>4</v>
      </c>
      <c r="G151" s="413"/>
      <c r="H151" s="365"/>
      <c r="J151" s="410" t="s">
        <v>508</v>
      </c>
    </row>
    <row r="152" spans="1:10" ht="9.75" customHeight="1">
      <c r="A152" s="410" t="str">
        <f>'12.lan'!D469</f>
        <v>MNE Montenegro</v>
      </c>
      <c r="B152" s="410" t="s">
        <v>509</v>
      </c>
      <c r="C152" s="413">
        <f>VLOOKUP(B152,'12.ppp data'!$C$3:$J$273,7,FALSE)</f>
        <v>2.7571504779018072</v>
      </c>
      <c r="D152" s="413" t="str">
        <f>IF(VLOOKUP(B152,'12.ppp data'!$C$3:$J$273,8,FALSE)="est","est","-")</f>
        <v>-</v>
      </c>
      <c r="E152" s="410" t="s">
        <v>254</v>
      </c>
      <c r="F152" s="413">
        <v>2</v>
      </c>
      <c r="G152" s="413" t="s">
        <v>244</v>
      </c>
      <c r="H152" s="365"/>
      <c r="J152" s="410" t="s">
        <v>510</v>
      </c>
    </row>
    <row r="153" spans="1:10" ht="9.75" customHeight="1">
      <c r="A153" s="410" t="str">
        <f>'12.lan'!D470</f>
        <v>MNG Mongolei</v>
      </c>
      <c r="B153" s="410" t="s">
        <v>511</v>
      </c>
      <c r="C153" s="413">
        <f>VLOOKUP(B153,'12.ppp data'!$C$3:$J$273,7,FALSE)</f>
        <v>3.9168356476795716</v>
      </c>
      <c r="D153" s="413" t="str">
        <f>IF(VLOOKUP(B153,'12.ppp data'!$C$3:$J$273,8,FALSE)="est","est","-")</f>
        <v>-</v>
      </c>
      <c r="E153" s="410" t="s">
        <v>248</v>
      </c>
      <c r="F153" s="413">
        <v>4.1785714285714288</v>
      </c>
      <c r="G153" s="413" t="s">
        <v>244</v>
      </c>
      <c r="H153" s="365"/>
      <c r="J153" s="410" t="s">
        <v>512</v>
      </c>
    </row>
    <row r="154" spans="1:10" ht="9.75" customHeight="1">
      <c r="A154" s="410" t="str">
        <f>'12.lan'!D471</f>
        <v>MNP Nördliche Marianen</v>
      </c>
      <c r="B154" s="410" t="s">
        <v>513</v>
      </c>
      <c r="C154" s="413">
        <f>VLOOKUP(B154,'12.ppp data'!$C$3:$J$273,7,FALSE)</f>
        <v>1.3563308370936336</v>
      </c>
      <c r="D154" s="413" t="str">
        <f>IF(VLOOKUP(B154,'12.ppp data'!$C$3:$J$273,8,FALSE)="est","est","-")</f>
        <v>est</v>
      </c>
      <c r="E154" s="410" t="s">
        <v>265</v>
      </c>
      <c r="F154" s="413">
        <v>3</v>
      </c>
      <c r="G154" s="413" t="s">
        <v>244</v>
      </c>
      <c r="H154" s="365"/>
      <c r="J154" s="410" t="s">
        <v>514</v>
      </c>
    </row>
    <row r="155" spans="1:10" ht="9.75" customHeight="1">
      <c r="A155" s="410" t="str">
        <f>'12.lan'!D472</f>
        <v>MOZ Mosambik</v>
      </c>
      <c r="B155" s="410" t="s">
        <v>515</v>
      </c>
      <c r="C155" s="413">
        <f>VLOOKUP(B155,'12.ppp data'!$C$3:$J$273,7,FALSE)</f>
        <v>3.4066898689195604</v>
      </c>
      <c r="D155" s="413" t="str">
        <f>IF(VLOOKUP(B155,'12.ppp data'!$C$3:$J$273,8,FALSE)="est","est","-")</f>
        <v>-</v>
      </c>
      <c r="E155" s="410" t="s">
        <v>251</v>
      </c>
      <c r="F155" s="413">
        <v>3</v>
      </c>
      <c r="G155" s="413"/>
      <c r="H155" s="365"/>
      <c r="J155" s="410" t="s">
        <v>516</v>
      </c>
    </row>
    <row r="156" spans="1:10" ht="9.75" customHeight="1">
      <c r="A156" s="410" t="str">
        <f>'12.lan'!D473</f>
        <v>MRT Mauretanien</v>
      </c>
      <c r="B156" s="410" t="s">
        <v>517</v>
      </c>
      <c r="C156" s="413">
        <f>VLOOKUP(B156,'12.ppp data'!$C$3:$J$273,7,FALSE)</f>
        <v>3.8928547489684506</v>
      </c>
      <c r="D156" s="413" t="str">
        <f>IF(VLOOKUP(B156,'12.ppp data'!$C$3:$J$273,8,FALSE)="est","est","-")</f>
        <v>-</v>
      </c>
      <c r="E156" s="410" t="s">
        <v>251</v>
      </c>
      <c r="F156" s="413">
        <v>3.7083333333333335</v>
      </c>
      <c r="G156" s="413" t="s">
        <v>244</v>
      </c>
      <c r="H156" s="365"/>
      <c r="J156" s="410" t="s">
        <v>518</v>
      </c>
    </row>
    <row r="157" spans="1:10" ht="9.75" customHeight="1">
      <c r="A157" s="410" t="str">
        <f>'12.lan'!D474</f>
        <v>MUS Mauritius</v>
      </c>
      <c r="B157" s="410" t="s">
        <v>519</v>
      </c>
      <c r="C157" s="413">
        <f>VLOOKUP(B157,'12.ppp data'!$C$3:$J$273,7,FALSE)</f>
        <v>2.3010822696567823</v>
      </c>
      <c r="D157" s="413" t="str">
        <f>IF(VLOOKUP(B157,'12.ppp data'!$C$3:$J$273,8,FALSE)="est","est","-")</f>
        <v>-</v>
      </c>
      <c r="E157" s="410" t="s">
        <v>251</v>
      </c>
      <c r="F157" s="413">
        <v>3.7083333333333335</v>
      </c>
      <c r="G157" s="413" t="s">
        <v>244</v>
      </c>
      <c r="H157" s="365"/>
      <c r="J157" s="410" t="s">
        <v>520</v>
      </c>
    </row>
    <row r="158" spans="1:10" ht="9.75" customHeight="1">
      <c r="A158" s="410" t="str">
        <f>'12.lan'!D475</f>
        <v>MWI Malawi</v>
      </c>
      <c r="B158" s="410" t="s">
        <v>521</v>
      </c>
      <c r="C158" s="413">
        <f>VLOOKUP(B158,'12.ppp data'!$C$3:$J$273,7,FALSE)</f>
        <v>3.9493473635874552</v>
      </c>
      <c r="D158" s="413" t="str">
        <f>IF(VLOOKUP(B158,'12.ppp data'!$C$3:$J$273,8,FALSE)="est","est","-")</f>
        <v>-</v>
      </c>
      <c r="E158" s="410" t="s">
        <v>251</v>
      </c>
      <c r="F158" s="413">
        <v>3.7083333333333335</v>
      </c>
      <c r="G158" s="413" t="s">
        <v>244</v>
      </c>
      <c r="H158" s="365"/>
      <c r="J158" s="410" t="s">
        <v>522</v>
      </c>
    </row>
    <row r="159" spans="1:10" ht="9.75" customHeight="1">
      <c r="A159" s="410" t="str">
        <f>'12.lan'!D476</f>
        <v>MYS Malaysia</v>
      </c>
      <c r="B159" s="410" t="s">
        <v>523</v>
      </c>
      <c r="C159" s="413">
        <f>VLOOKUP(B159,'12.ppp data'!$C$3:$J$273,7,FALSE)</f>
        <v>3.3409539086930788</v>
      </c>
      <c r="D159" s="413" t="str">
        <f>IF(VLOOKUP(B159,'12.ppp data'!$C$3:$J$273,8,FALSE)="est","est","-")</f>
        <v>-</v>
      </c>
      <c r="E159" s="410" t="s">
        <v>248</v>
      </c>
      <c r="F159" s="413">
        <v>5</v>
      </c>
      <c r="G159" s="413"/>
      <c r="H159" s="365"/>
      <c r="J159" s="410" t="s">
        <v>524</v>
      </c>
    </row>
    <row r="160" spans="1:10" ht="9.75" customHeight="1">
      <c r="A160" s="410" t="str">
        <f>'12.lan'!D477</f>
        <v>NAM Namibia</v>
      </c>
      <c r="B160" s="410" t="s">
        <v>525</v>
      </c>
      <c r="C160" s="413">
        <f>VLOOKUP(B160,'12.ppp data'!$C$3:$J$273,7,FALSE)</f>
        <v>2.2612227250983215</v>
      </c>
      <c r="D160" s="413" t="str">
        <f>IF(VLOOKUP(B160,'12.ppp data'!$C$3:$J$273,8,FALSE)="est","est","-")</f>
        <v>-</v>
      </c>
      <c r="E160" s="410" t="s">
        <v>251</v>
      </c>
      <c r="F160" s="413">
        <v>3</v>
      </c>
      <c r="G160" s="413"/>
      <c r="H160" s="365"/>
      <c r="J160" s="410" t="s">
        <v>526</v>
      </c>
    </row>
    <row r="161" spans="1:10" ht="9.75" customHeight="1">
      <c r="A161" s="410" t="str">
        <f>'12.lan'!D478</f>
        <v>NCL Neukaledonien</v>
      </c>
      <c r="B161" s="410" t="s">
        <v>527</v>
      </c>
      <c r="C161" s="413">
        <f>VLOOKUP(B161,'12.ppp data'!$C$3:$J$273,7,FALSE)</f>
        <v>1.3563308370936336</v>
      </c>
      <c r="D161" s="413" t="str">
        <f>IF(VLOOKUP(B161,'12.ppp data'!$C$3:$J$273,8,FALSE)="est","est","-")</f>
        <v>est</v>
      </c>
      <c r="E161" s="410" t="s">
        <v>265</v>
      </c>
      <c r="F161" s="413">
        <v>3</v>
      </c>
      <c r="G161" s="413" t="s">
        <v>244</v>
      </c>
      <c r="H161" s="365"/>
      <c r="J161" s="410" t="s">
        <v>528</v>
      </c>
    </row>
    <row r="162" spans="1:10" ht="9.75" customHeight="1">
      <c r="A162" s="410" t="str">
        <f>'12.lan'!D479</f>
        <v>NER Niger</v>
      </c>
      <c r="B162" s="410" t="s">
        <v>529</v>
      </c>
      <c r="C162" s="413">
        <f>VLOOKUP(B162,'12.ppp data'!$C$3:$J$273,7,FALSE)</f>
        <v>3.0345117582886689</v>
      </c>
      <c r="D162" s="413" t="str">
        <f>IF(VLOOKUP(B162,'12.ppp data'!$C$3:$J$273,8,FALSE)="est","est","-")</f>
        <v>-</v>
      </c>
      <c r="E162" s="410" t="s">
        <v>251</v>
      </c>
      <c r="F162" s="413">
        <v>3.7083333333333335</v>
      </c>
      <c r="G162" s="413" t="s">
        <v>244</v>
      </c>
      <c r="H162" s="365"/>
      <c r="J162" s="410" t="s">
        <v>530</v>
      </c>
    </row>
    <row r="163" spans="1:10" ht="9.75" customHeight="1">
      <c r="A163" s="410" t="str">
        <f>'12.lan'!D480</f>
        <v>NGA Nigeria</v>
      </c>
      <c r="B163" s="410" t="s">
        <v>531</v>
      </c>
      <c r="C163" s="413">
        <f>VLOOKUP(B163,'12.ppp data'!$C$3:$J$273,7,FALSE)</f>
        <v>3.6473316344115339</v>
      </c>
      <c r="D163" s="413" t="str">
        <f>IF(VLOOKUP(B163,'12.ppp data'!$C$3:$J$273,8,FALSE)="est","est","-")</f>
        <v>-</v>
      </c>
      <c r="E163" s="410" t="s">
        <v>251</v>
      </c>
      <c r="F163" s="413">
        <v>5</v>
      </c>
      <c r="G163" s="413"/>
      <c r="H163" s="365"/>
      <c r="J163" s="410" t="s">
        <v>532</v>
      </c>
    </row>
    <row r="164" spans="1:10" ht="9.75" customHeight="1">
      <c r="A164" s="410" t="str">
        <f>'12.lan'!D481</f>
        <v>NIC Nicaragua</v>
      </c>
      <c r="B164" s="410" t="s">
        <v>533</v>
      </c>
      <c r="C164" s="413">
        <f>VLOOKUP(B164,'12.ppp data'!$C$3:$J$273,7,FALSE)</f>
        <v>2.9237099041681942</v>
      </c>
      <c r="D164" s="413" t="str">
        <f>IF(VLOOKUP(B164,'12.ppp data'!$C$3:$J$273,8,FALSE)="est","est","-")</f>
        <v>-</v>
      </c>
      <c r="E164" s="410" t="s">
        <v>245</v>
      </c>
      <c r="F164" s="413">
        <v>3.4210526315789473</v>
      </c>
      <c r="G164" s="413" t="s">
        <v>244</v>
      </c>
      <c r="H164" s="365"/>
      <c r="J164" s="410" t="s">
        <v>534</v>
      </c>
    </row>
    <row r="165" spans="1:10" ht="9.75" customHeight="1">
      <c r="A165" s="410" t="str">
        <f>'12.lan'!D482</f>
        <v>NLD Niederlande</v>
      </c>
      <c r="B165" s="410" t="s">
        <v>535</v>
      </c>
      <c r="C165" s="413">
        <f>VLOOKUP(B165,'12.ppp data'!$C$3:$J$273,7,FALSE)</f>
        <v>1.2371414609403513</v>
      </c>
      <c r="D165" s="413" t="str">
        <f>IF(VLOOKUP(B165,'12.ppp data'!$C$3:$J$273,8,FALSE)="est","est","-")</f>
        <v>-</v>
      </c>
      <c r="E165" s="410" t="s">
        <v>254</v>
      </c>
      <c r="F165" s="413">
        <v>1</v>
      </c>
      <c r="G165" s="413"/>
      <c r="H165" s="365"/>
      <c r="J165" s="410" t="s">
        <v>536</v>
      </c>
    </row>
    <row r="166" spans="1:10" ht="9.75" customHeight="1">
      <c r="A166" s="410" t="str">
        <f>'12.lan'!D483</f>
        <v>NOR Norwegen</v>
      </c>
      <c r="B166" s="410" t="s">
        <v>537</v>
      </c>
      <c r="C166" s="413">
        <f>VLOOKUP(B166,'12.ppp data'!$C$3:$J$273,7,FALSE)</f>
        <v>0.91144613113908035</v>
      </c>
      <c r="D166" s="413" t="str">
        <f>IF(VLOOKUP(B166,'12.ppp data'!$C$3:$J$273,8,FALSE)="est","est","-")</f>
        <v>-</v>
      </c>
      <c r="E166" s="410" t="s">
        <v>254</v>
      </c>
      <c r="F166" s="413">
        <v>1</v>
      </c>
      <c r="G166" s="413"/>
      <c r="H166" s="365"/>
      <c r="J166" s="410" t="s">
        <v>538</v>
      </c>
    </row>
    <row r="167" spans="1:10" ht="9.75" customHeight="1">
      <c r="A167" s="410" t="str">
        <f>'12.lan'!D484</f>
        <v>NPL Nepal</v>
      </c>
      <c r="B167" s="410" t="s">
        <v>539</v>
      </c>
      <c r="C167" s="413">
        <f>VLOOKUP(B167,'12.ppp data'!$C$3:$J$273,7,FALSE)</f>
        <v>3.5079000577965997</v>
      </c>
      <c r="D167" s="413" t="str">
        <f>IF(VLOOKUP(B167,'12.ppp data'!$C$3:$J$273,8,FALSE)="est","est","-")</f>
        <v>-</v>
      </c>
      <c r="E167" s="410" t="s">
        <v>248</v>
      </c>
      <c r="F167" s="413">
        <v>4</v>
      </c>
      <c r="G167" s="413"/>
      <c r="H167" s="365"/>
      <c r="J167" s="410" t="s">
        <v>540</v>
      </c>
    </row>
    <row r="168" spans="1:10" ht="9.75" customHeight="1">
      <c r="A168" s="410" t="str">
        <f>'12.lan'!D485</f>
        <v>NRU Nauru</v>
      </c>
      <c r="B168" s="410" t="s">
        <v>541</v>
      </c>
      <c r="C168" s="413">
        <f>VLOOKUP(B168,'12.ppp data'!$C$3:$J$273,7,FALSE)</f>
        <v>1.8860988073359262</v>
      </c>
      <c r="D168" s="413" t="str">
        <f>IF(VLOOKUP(B168,'12.ppp data'!$C$3:$J$273,8,FALSE)="est","est","-")</f>
        <v>-</v>
      </c>
      <c r="E168" s="410" t="s">
        <v>265</v>
      </c>
      <c r="F168" s="413">
        <v>3</v>
      </c>
      <c r="G168" s="413" t="s">
        <v>244</v>
      </c>
      <c r="H168" s="365"/>
      <c r="J168" s="410" t="s">
        <v>542</v>
      </c>
    </row>
    <row r="169" spans="1:10" ht="9.75" customHeight="1">
      <c r="A169" s="410" t="str">
        <f>'12.lan'!D486</f>
        <v>NZL Neuseeland</v>
      </c>
      <c r="B169" s="410" t="s">
        <v>543</v>
      </c>
      <c r="C169" s="413">
        <f>VLOOKUP(B169,'12.ppp data'!$C$3:$J$273,7,FALSE)</f>
        <v>1.0760787421251647</v>
      </c>
      <c r="D169" s="413" t="str">
        <f>IF(VLOOKUP(B169,'12.ppp data'!$C$3:$J$273,8,FALSE)="est","est","-")</f>
        <v>-</v>
      </c>
      <c r="E169" s="410" t="s">
        <v>265</v>
      </c>
      <c r="F169" s="413">
        <v>3</v>
      </c>
      <c r="G169" s="413" t="s">
        <v>244</v>
      </c>
      <c r="H169" s="365"/>
      <c r="J169" s="410" t="s">
        <v>544</v>
      </c>
    </row>
    <row r="170" spans="1:10" ht="9.75" customHeight="1">
      <c r="A170" s="410" t="str">
        <f>'12.lan'!D487</f>
        <v>OMN Oman</v>
      </c>
      <c r="B170" s="410" t="s">
        <v>545</v>
      </c>
      <c r="C170" s="413">
        <f>VLOOKUP(B170,'12.ppp data'!$C$3:$J$273,7,FALSE)</f>
        <v>2.9989492247716245</v>
      </c>
      <c r="D170" s="413" t="str">
        <f>IF(VLOOKUP(B170,'12.ppp data'!$C$3:$J$273,8,FALSE)="est","est","-")</f>
        <v>-</v>
      </c>
      <c r="E170" s="410" t="s">
        <v>248</v>
      </c>
      <c r="F170" s="413">
        <v>4</v>
      </c>
      <c r="G170" s="413"/>
      <c r="H170" s="365"/>
      <c r="J170" s="410" t="s">
        <v>546</v>
      </c>
    </row>
    <row r="171" spans="1:10" ht="9.75" customHeight="1">
      <c r="A171" s="410" t="str">
        <f>'12.lan'!D488</f>
        <v>PAK Pakistan</v>
      </c>
      <c r="B171" s="410" t="s">
        <v>547</v>
      </c>
      <c r="C171" s="413">
        <f>VLOOKUP(B171,'12.ppp data'!$C$3:$J$273,7,FALSE)</f>
        <v>4.0161818085959498</v>
      </c>
      <c r="D171" s="413" t="str">
        <f>IF(VLOOKUP(B171,'12.ppp data'!$C$3:$J$273,8,FALSE)="est","est","-")</f>
        <v>-</v>
      </c>
      <c r="E171" s="410" t="s">
        <v>248</v>
      </c>
      <c r="F171" s="413">
        <v>4</v>
      </c>
      <c r="G171" s="413"/>
      <c r="H171" s="365"/>
      <c r="J171" s="410" t="s">
        <v>548</v>
      </c>
    </row>
    <row r="172" spans="1:10" ht="9.75" customHeight="1">
      <c r="A172" s="410" t="str">
        <f>'12.lan'!D489</f>
        <v>PAN Panama</v>
      </c>
      <c r="B172" s="410" t="s">
        <v>549</v>
      </c>
      <c r="C172" s="413">
        <f>VLOOKUP(B172,'12.ppp data'!$C$3:$J$273,7,FALSE)</f>
        <v>1.8300677990616934</v>
      </c>
      <c r="D172" s="413" t="str">
        <f>IF(VLOOKUP(B172,'12.ppp data'!$C$3:$J$273,8,FALSE)="est","est","-")</f>
        <v>-</v>
      </c>
      <c r="E172" s="410" t="s">
        <v>245</v>
      </c>
      <c r="F172" s="413">
        <v>4</v>
      </c>
      <c r="G172" s="413"/>
      <c r="H172" s="365"/>
      <c r="J172" s="410" t="s">
        <v>550</v>
      </c>
    </row>
    <row r="173" spans="1:10" ht="9.75" customHeight="1">
      <c r="A173" s="410" t="str">
        <f>'12.lan'!D490</f>
        <v>PER Peru</v>
      </c>
      <c r="B173" s="410" t="s">
        <v>551</v>
      </c>
      <c r="C173" s="413">
        <f>VLOOKUP(B173,'12.ppp data'!$C$3:$J$273,7,FALSE)</f>
        <v>2.2821651537971333</v>
      </c>
      <c r="D173" s="413" t="str">
        <f>IF(VLOOKUP(B173,'12.ppp data'!$C$3:$J$273,8,FALSE)="est","est","-")</f>
        <v>-</v>
      </c>
      <c r="E173" s="410" t="s">
        <v>245</v>
      </c>
      <c r="F173" s="413">
        <v>4</v>
      </c>
      <c r="G173" s="413"/>
      <c r="H173" s="365"/>
      <c r="J173" s="410" t="s">
        <v>552</v>
      </c>
    </row>
    <row r="174" spans="1:10" ht="9.75" customHeight="1">
      <c r="A174" s="410" t="str">
        <f>'12.lan'!D491</f>
        <v>PHL Philippinen</v>
      </c>
      <c r="B174" s="410" t="s">
        <v>553</v>
      </c>
      <c r="C174" s="413">
        <f>VLOOKUP(B174,'12.ppp data'!$C$3:$J$273,7,FALSE)</f>
        <v>3.1476986949883816</v>
      </c>
      <c r="D174" s="413" t="str">
        <f>IF(VLOOKUP(B174,'12.ppp data'!$C$3:$J$273,8,FALSE)="est","est","-")</f>
        <v>-</v>
      </c>
      <c r="E174" s="410" t="s">
        <v>248</v>
      </c>
      <c r="F174" s="413">
        <v>5</v>
      </c>
      <c r="G174" s="413"/>
      <c r="H174" s="365"/>
      <c r="J174" s="410" t="s">
        <v>554</v>
      </c>
    </row>
    <row r="175" spans="1:10" ht="9.75" customHeight="1">
      <c r="A175" s="410" t="str">
        <f>'12.lan'!D492</f>
        <v>PLW Palau</v>
      </c>
      <c r="B175" s="410" t="s">
        <v>555</v>
      </c>
      <c r="C175" s="413">
        <f>VLOOKUP(B175,'12.ppp data'!$C$3:$J$273,7,FALSE)</f>
        <v>1.2236683068944152</v>
      </c>
      <c r="D175" s="413" t="str">
        <f>IF(VLOOKUP(B175,'12.ppp data'!$C$3:$J$273,8,FALSE)="est","est","-")</f>
        <v>-</v>
      </c>
      <c r="E175" s="410" t="s">
        <v>265</v>
      </c>
      <c r="F175" s="413">
        <v>3</v>
      </c>
      <c r="G175" s="413" t="s">
        <v>244</v>
      </c>
      <c r="H175" s="365"/>
      <c r="J175" s="410" t="s">
        <v>556</v>
      </c>
    </row>
    <row r="176" spans="1:10" ht="9.75" customHeight="1">
      <c r="A176" s="410" t="str">
        <f>'12.lan'!D493</f>
        <v>PNG Papua-Neuguinea</v>
      </c>
      <c r="B176" s="410" t="s">
        <v>557</v>
      </c>
      <c r="C176" s="413">
        <f>VLOOKUP(B176,'12.ppp data'!$C$3:$J$273,7,FALSE)</f>
        <v>1.8178576569853162</v>
      </c>
      <c r="D176" s="413" t="str">
        <f>IF(VLOOKUP(B176,'12.ppp data'!$C$3:$J$273,8,FALSE)="est","est","-")</f>
        <v>-</v>
      </c>
      <c r="E176" s="410" t="s">
        <v>265</v>
      </c>
      <c r="F176" s="413">
        <v>3</v>
      </c>
      <c r="G176" s="413" t="s">
        <v>244</v>
      </c>
      <c r="H176" s="365"/>
      <c r="J176" s="410" t="s">
        <v>558</v>
      </c>
    </row>
    <row r="177" spans="1:10" ht="9.75" customHeight="1">
      <c r="A177" s="410" t="str">
        <f>'12.lan'!D494</f>
        <v>POL Polen</v>
      </c>
      <c r="B177" s="410" t="s">
        <v>559</v>
      </c>
      <c r="C177" s="413">
        <f>VLOOKUP(B177,'12.ppp data'!$C$3:$J$273,7,FALSE)</f>
        <v>2.3920792098053809</v>
      </c>
      <c r="D177" s="413" t="str">
        <f>IF(VLOOKUP(B177,'12.ppp data'!$C$3:$J$273,8,FALSE)="est","est","-")</f>
        <v>-</v>
      </c>
      <c r="E177" s="410" t="s">
        <v>254</v>
      </c>
      <c r="F177" s="413">
        <v>3</v>
      </c>
      <c r="G177" s="413"/>
      <c r="H177" s="365"/>
      <c r="J177" s="410" t="s">
        <v>560</v>
      </c>
    </row>
    <row r="178" spans="1:10" ht="9.75" customHeight="1">
      <c r="A178" s="410" t="str">
        <f>'12.lan'!D495</f>
        <v>PRI Puerto Rico</v>
      </c>
      <c r="B178" s="410" t="s">
        <v>561</v>
      </c>
      <c r="C178" s="413">
        <f>VLOOKUP(B178,'12.ppp data'!$C$3:$J$273,7,FALSE)</f>
        <v>1.9628994497935313</v>
      </c>
      <c r="D178" s="413" t="str">
        <f>IF(VLOOKUP(B178,'12.ppp data'!$C$3:$J$273,8,FALSE)="est","est","-")</f>
        <v>est</v>
      </c>
      <c r="E178" s="410" t="s">
        <v>245</v>
      </c>
      <c r="F178" s="413">
        <v>3.4210526315789473</v>
      </c>
      <c r="G178" s="413" t="s">
        <v>244</v>
      </c>
      <c r="H178" s="365"/>
      <c r="J178" s="410" t="s">
        <v>562</v>
      </c>
    </row>
    <row r="179" spans="1:10" ht="9.75" customHeight="1">
      <c r="A179" s="410" t="str">
        <f>'12.lan'!D496</f>
        <v>PRK Korea, Demokratische Volksrepublik (Nordkorea)</v>
      </c>
      <c r="B179" s="410" t="s">
        <v>563</v>
      </c>
      <c r="C179" s="413">
        <f>VLOOKUP(B179,'12.ppp data'!$C$3:$J$273,7,FALSE)</f>
        <v>3.0027294367224551</v>
      </c>
      <c r="D179" s="413" t="str">
        <f>IF(VLOOKUP(B179,'12.ppp data'!$C$3:$J$273,8,FALSE)="est","est","-")</f>
        <v>est</v>
      </c>
      <c r="E179" s="410" t="s">
        <v>248</v>
      </c>
      <c r="F179" s="413">
        <v>4.1785714285714288</v>
      </c>
      <c r="G179" s="413" t="s">
        <v>244</v>
      </c>
      <c r="H179" s="365"/>
      <c r="J179" s="410" t="s">
        <v>564</v>
      </c>
    </row>
    <row r="180" spans="1:10" ht="9.75" customHeight="1">
      <c r="A180" s="410" t="str">
        <f>'12.lan'!D497</f>
        <v>PRT Portugal</v>
      </c>
      <c r="B180" s="410" t="s">
        <v>565</v>
      </c>
      <c r="C180" s="413">
        <f>VLOOKUP(B180,'12.ppp data'!$C$3:$J$273,7,FALSE)</f>
        <v>1.7166939907126855</v>
      </c>
      <c r="D180" s="413" t="str">
        <f>IF(VLOOKUP(B180,'12.ppp data'!$C$3:$J$273,8,FALSE)="est","est","-")</f>
        <v>-</v>
      </c>
      <c r="E180" s="410" t="s">
        <v>254</v>
      </c>
      <c r="F180" s="413">
        <v>3</v>
      </c>
      <c r="G180" s="413"/>
      <c r="H180" s="365"/>
      <c r="J180" s="410" t="s">
        <v>566</v>
      </c>
    </row>
    <row r="181" spans="1:10" ht="9.75" customHeight="1">
      <c r="A181" s="410" t="str">
        <f>'12.lan'!D498</f>
        <v>PRY Paraguay</v>
      </c>
      <c r="B181" s="410" t="s">
        <v>567</v>
      </c>
      <c r="C181" s="413">
        <f>VLOOKUP(B181,'12.ppp data'!$C$3:$J$273,7,FALSE)</f>
        <v>2.485477668859331</v>
      </c>
      <c r="D181" s="413" t="str">
        <f>IF(VLOOKUP(B181,'12.ppp data'!$C$3:$J$273,8,FALSE)="est","est","-")</f>
        <v>-</v>
      </c>
      <c r="E181" s="410" t="s">
        <v>245</v>
      </c>
      <c r="F181" s="413">
        <v>3</v>
      </c>
      <c r="G181" s="413"/>
      <c r="H181" s="365"/>
      <c r="J181" s="410" t="s">
        <v>568</v>
      </c>
    </row>
    <row r="182" spans="1:10" ht="9.75" customHeight="1">
      <c r="A182" s="410" t="str">
        <f>'12.lan'!D499</f>
        <v>PSE Palästinensische Autonomiegebiete</v>
      </c>
      <c r="B182" s="410" t="s">
        <v>569</v>
      </c>
      <c r="C182" s="413">
        <f>VLOOKUP(B182,'12.ppp data'!$C$3:$J$273,7,FALSE)</f>
        <v>3.0027294367224551</v>
      </c>
      <c r="D182" s="413" t="str">
        <f>IF(VLOOKUP(B182,'12.ppp data'!$C$3:$J$273,8,FALSE)="est","est","-")</f>
        <v>est</v>
      </c>
      <c r="E182" s="410" t="s">
        <v>248</v>
      </c>
      <c r="F182" s="413">
        <v>4.1785714285714288</v>
      </c>
      <c r="G182" s="413" t="s">
        <v>244</v>
      </c>
      <c r="H182" s="365"/>
      <c r="J182" s="410" t="s">
        <v>570</v>
      </c>
    </row>
    <row r="183" spans="1:10" ht="9.75" customHeight="1">
      <c r="A183" s="410" t="str">
        <f>'12.lan'!D500</f>
        <v>PYF Französisch-Polynesien</v>
      </c>
      <c r="B183" s="410" t="s">
        <v>571</v>
      </c>
      <c r="C183" s="413">
        <f>VLOOKUP(B183,'12.ppp data'!$C$3:$J$273,7,FALSE)</f>
        <v>1.3563308370936336</v>
      </c>
      <c r="D183" s="413" t="str">
        <f>IF(VLOOKUP(B183,'12.ppp data'!$C$3:$J$273,8,FALSE)="est","est","-")</f>
        <v>est</v>
      </c>
      <c r="E183" s="410" t="s">
        <v>265</v>
      </c>
      <c r="F183" s="413">
        <v>3</v>
      </c>
      <c r="G183" s="413" t="s">
        <v>244</v>
      </c>
      <c r="H183" s="365"/>
      <c r="I183" s="412"/>
      <c r="J183" s="410" t="s">
        <v>572</v>
      </c>
    </row>
    <row r="184" spans="1:10" ht="9.75" customHeight="1">
      <c r="A184" s="410" t="str">
        <f>'12.lan'!D501</f>
        <v>QAT Katar</v>
      </c>
      <c r="B184" s="410" t="s">
        <v>573</v>
      </c>
      <c r="C184" s="413">
        <f>VLOOKUP(B184,'12.ppp data'!$C$3:$J$273,7,FALSE)</f>
        <v>2.2754401989982163</v>
      </c>
      <c r="D184" s="413" t="str">
        <f>IF(VLOOKUP(B184,'12.ppp data'!$C$3:$J$273,8,FALSE)="est","est","-")</f>
        <v>-</v>
      </c>
      <c r="E184" s="410" t="s">
        <v>248</v>
      </c>
      <c r="F184" s="413">
        <v>5</v>
      </c>
      <c r="G184" s="413"/>
      <c r="H184" s="365"/>
      <c r="J184" s="410" t="s">
        <v>574</v>
      </c>
    </row>
    <row r="185" spans="1:10" ht="9.75" customHeight="1">
      <c r="A185" s="410" t="str">
        <f>'12.lan'!D502</f>
        <v>ROU Rumänien</v>
      </c>
      <c r="B185" s="410" t="s">
        <v>575</v>
      </c>
      <c r="C185" s="413">
        <f>VLOOKUP(B185,'12.ppp data'!$C$3:$J$273,7,FALSE)</f>
        <v>2.6955722747597277</v>
      </c>
      <c r="D185" s="413" t="str">
        <f>IF(VLOOKUP(B185,'12.ppp data'!$C$3:$J$273,8,FALSE)="est","est","-")</f>
        <v>-</v>
      </c>
      <c r="E185" s="410" t="s">
        <v>254</v>
      </c>
      <c r="F185" s="413">
        <v>3</v>
      </c>
      <c r="G185" s="413"/>
      <c r="H185" s="365"/>
      <c r="J185" s="410" t="s">
        <v>576</v>
      </c>
    </row>
    <row r="186" spans="1:10" ht="9.75" customHeight="1">
      <c r="A186" s="410" t="str">
        <f>'12.lan'!D503</f>
        <v>RUS Russische Föderation</v>
      </c>
      <c r="B186" s="410" t="s">
        <v>577</v>
      </c>
      <c r="C186" s="413">
        <f>VLOOKUP(B186,'12.ppp data'!$C$3:$J$273,7,FALSE)</f>
        <v>2.6821265780186163</v>
      </c>
      <c r="D186" s="413" t="str">
        <f>IF(VLOOKUP(B186,'12.ppp data'!$C$3:$J$273,8,FALSE)="est","est","-")</f>
        <v>-</v>
      </c>
      <c r="E186" s="410" t="s">
        <v>254</v>
      </c>
      <c r="F186" s="413">
        <v>2</v>
      </c>
      <c r="G186" s="413"/>
      <c r="H186" s="365"/>
      <c r="J186" s="410" t="s">
        <v>578</v>
      </c>
    </row>
    <row r="187" spans="1:10" ht="9.75" customHeight="1">
      <c r="A187" s="410" t="str">
        <f>'12.lan'!D504</f>
        <v>RWA Ruanda</v>
      </c>
      <c r="B187" s="410" t="s">
        <v>579</v>
      </c>
      <c r="C187" s="413">
        <f>VLOOKUP(B187,'12.ppp data'!$C$3:$J$273,7,FALSE)</f>
        <v>3.0422872212098131</v>
      </c>
      <c r="D187" s="413" t="str">
        <f>IF(VLOOKUP(B187,'12.ppp data'!$C$3:$J$273,8,FALSE)="est","est","-")</f>
        <v>-</v>
      </c>
      <c r="E187" s="410" t="s">
        <v>251</v>
      </c>
      <c r="F187" s="413">
        <v>3.7083333333333335</v>
      </c>
      <c r="G187" s="413" t="s">
        <v>244</v>
      </c>
      <c r="H187" s="365"/>
      <c r="J187" s="410" t="s">
        <v>580</v>
      </c>
    </row>
    <row r="188" spans="1:10" ht="9.75" customHeight="1">
      <c r="A188" s="410" t="str">
        <f>'12.lan'!D505</f>
        <v>SAU Saudi-Arabien</v>
      </c>
      <c r="B188" s="410" t="s">
        <v>581</v>
      </c>
      <c r="C188" s="413">
        <f>VLOOKUP(B188,'12.ppp data'!$C$3:$J$273,7,FALSE)</f>
        <v>2.9277327693485242</v>
      </c>
      <c r="D188" s="413" t="str">
        <f>IF(VLOOKUP(B188,'12.ppp data'!$C$3:$J$273,8,FALSE)="est","est","-")</f>
        <v>-</v>
      </c>
      <c r="E188" s="410" t="s">
        <v>248</v>
      </c>
      <c r="F188" s="413">
        <v>5</v>
      </c>
      <c r="G188" s="413"/>
      <c r="H188" s="365"/>
      <c r="J188" s="410" t="s">
        <v>582</v>
      </c>
    </row>
    <row r="189" spans="1:10" ht="9.75" customHeight="1">
      <c r="A189" s="410" t="str">
        <f>'12.lan'!D506</f>
        <v>SDN Sudan</v>
      </c>
      <c r="B189" s="410" t="s">
        <v>583</v>
      </c>
      <c r="C189" s="413">
        <f>VLOOKUP(B189,'12.ppp data'!$C$3:$J$273,7,FALSE)</f>
        <v>1.8034320862418214</v>
      </c>
      <c r="D189" s="413" t="str">
        <f>IF(VLOOKUP(B189,'12.ppp data'!$C$3:$J$273,8,FALSE)="est","est","-")</f>
        <v>-</v>
      </c>
      <c r="E189" s="410" t="s">
        <v>251</v>
      </c>
      <c r="F189" s="413">
        <v>6</v>
      </c>
      <c r="G189" s="413"/>
      <c r="H189" s="365"/>
      <c r="J189" s="410" t="s">
        <v>584</v>
      </c>
    </row>
    <row r="190" spans="1:10" ht="9.75" customHeight="1">
      <c r="A190" s="410" t="str">
        <f>'12.lan'!D507</f>
        <v>SEN Senegal</v>
      </c>
      <c r="B190" s="410" t="s">
        <v>585</v>
      </c>
      <c r="C190" s="413">
        <f>VLOOKUP(B190,'12.ppp data'!$C$3:$J$273,7,FALSE)</f>
        <v>2.9628383355975485</v>
      </c>
      <c r="D190" s="413" t="str">
        <f>IF(VLOOKUP(B190,'12.ppp data'!$C$3:$J$273,8,FALSE)="est","est","-")</f>
        <v>-</v>
      </c>
      <c r="E190" s="410" t="s">
        <v>251</v>
      </c>
      <c r="F190" s="413">
        <v>2</v>
      </c>
      <c r="G190" s="413"/>
      <c r="H190" s="365"/>
      <c r="J190" s="410" t="s">
        <v>586</v>
      </c>
    </row>
    <row r="191" spans="1:10" ht="9.75" customHeight="1">
      <c r="A191" s="410" t="str">
        <f>'12.lan'!D508</f>
        <v>SGP Singapur</v>
      </c>
      <c r="B191" s="410" t="s">
        <v>587</v>
      </c>
      <c r="C191" s="413">
        <f>VLOOKUP(B191,'12.ppp data'!$C$3:$J$273,7,FALSE)</f>
        <v>1.8374841917124456</v>
      </c>
      <c r="D191" s="413" t="str">
        <f>IF(VLOOKUP(B191,'12.ppp data'!$C$3:$J$273,8,FALSE)="est","est","-")</f>
        <v>-</v>
      </c>
      <c r="E191" s="410" t="s">
        <v>248</v>
      </c>
      <c r="F191" s="413">
        <v>3</v>
      </c>
      <c r="G191" s="413"/>
      <c r="H191" s="365"/>
      <c r="J191" s="410" t="s">
        <v>588</v>
      </c>
    </row>
    <row r="192" spans="1:10" ht="9.75" customHeight="1">
      <c r="A192" s="410" t="str">
        <f>'12.lan'!D509</f>
        <v>SLB Salomonen</v>
      </c>
      <c r="B192" s="410" t="s">
        <v>589</v>
      </c>
      <c r="C192" s="413">
        <f>VLOOKUP(B192,'12.ppp data'!$C$3:$J$273,7,FALSE)</f>
        <v>1.2437936553501536</v>
      </c>
      <c r="D192" s="413" t="str">
        <f>IF(VLOOKUP(B192,'12.ppp data'!$C$3:$J$273,8,FALSE)="est","est","-")</f>
        <v>-</v>
      </c>
      <c r="E192" s="410" t="s">
        <v>265</v>
      </c>
      <c r="F192" s="413">
        <v>3</v>
      </c>
      <c r="G192" s="413" t="s">
        <v>244</v>
      </c>
      <c r="H192" s="365"/>
      <c r="J192" s="410" t="s">
        <v>590</v>
      </c>
    </row>
    <row r="193" spans="1:10" ht="9.75" customHeight="1">
      <c r="A193" s="410" t="str">
        <f>'12.lan'!D510</f>
        <v>SLE Sierra Leone</v>
      </c>
      <c r="B193" s="410" t="s">
        <v>591</v>
      </c>
      <c r="C193" s="413">
        <f>VLOOKUP(B193,'12.ppp data'!$C$3:$J$273,7,FALSE)</f>
        <v>3.5180741592103839</v>
      </c>
      <c r="D193" s="413" t="str">
        <f>IF(VLOOKUP(B193,'12.ppp data'!$C$3:$J$273,8,FALSE)="est","est","-")</f>
        <v>-</v>
      </c>
      <c r="E193" s="410" t="s">
        <v>251</v>
      </c>
      <c r="F193" s="413">
        <v>3.7083333333333335</v>
      </c>
      <c r="G193" s="413" t="s">
        <v>244</v>
      </c>
      <c r="H193" s="365"/>
      <c r="J193" s="410" t="s">
        <v>592</v>
      </c>
    </row>
    <row r="194" spans="1:10" ht="9.75" customHeight="1">
      <c r="A194" s="410" t="str">
        <f>'12.lan'!D511</f>
        <v>SLV El Salvador</v>
      </c>
      <c r="B194" s="410" t="s">
        <v>593</v>
      </c>
      <c r="C194" s="413">
        <f>VLOOKUP(B194,'12.ppp data'!$C$3:$J$273,7,FALSE)</f>
        <v>2.3250310954896238</v>
      </c>
      <c r="D194" s="413" t="str">
        <f>IF(VLOOKUP(B194,'12.ppp data'!$C$3:$J$273,8,FALSE)="est","est","-")</f>
        <v>-</v>
      </c>
      <c r="E194" s="410" t="s">
        <v>245</v>
      </c>
      <c r="F194" s="413">
        <v>4</v>
      </c>
      <c r="G194" s="413"/>
      <c r="H194" s="365"/>
      <c r="J194" s="410" t="s">
        <v>594</v>
      </c>
    </row>
    <row r="195" spans="1:10" ht="9.75" customHeight="1">
      <c r="A195" s="410" t="str">
        <f>'12.lan'!D512</f>
        <v>SMR San Marino</v>
      </c>
      <c r="B195" s="410" t="s">
        <v>595</v>
      </c>
      <c r="C195" s="413">
        <f>VLOOKUP(B195,'12.ppp data'!$C$3:$J$273,7,FALSE)</f>
        <v>1.4164511818660801</v>
      </c>
      <c r="D195" s="413" t="str">
        <f>IF(VLOOKUP(B195,'12.ppp data'!$C$3:$J$273,8,FALSE)="est","est","-")</f>
        <v>-</v>
      </c>
      <c r="E195" s="410" t="s">
        <v>254</v>
      </c>
      <c r="F195" s="413">
        <v>2</v>
      </c>
      <c r="G195" s="413" t="s">
        <v>244</v>
      </c>
      <c r="H195" s="365"/>
      <c r="J195" s="410" t="s">
        <v>596</v>
      </c>
    </row>
    <row r="196" spans="1:10" ht="9.75" customHeight="1">
      <c r="A196" s="410" t="str">
        <f>'12.lan'!D513</f>
        <v>SOM Somalia</v>
      </c>
      <c r="B196" s="410" t="s">
        <v>597</v>
      </c>
      <c r="C196" s="413">
        <f>VLOOKUP(B196,'12.ppp data'!$C$3:$J$273,7,FALSE)</f>
        <v>3.0325616327831186</v>
      </c>
      <c r="D196" s="413" t="str">
        <f>IF(VLOOKUP(B196,'12.ppp data'!$C$3:$J$273,8,FALSE)="est","est","-")</f>
        <v>est</v>
      </c>
      <c r="E196" s="410" t="s">
        <v>251</v>
      </c>
      <c r="F196" s="413">
        <v>3.7083333333333335</v>
      </c>
      <c r="G196" s="413" t="s">
        <v>244</v>
      </c>
      <c r="H196" s="365"/>
      <c r="J196" s="410" t="s">
        <v>598</v>
      </c>
    </row>
    <row r="197" spans="1:10" ht="9.75" customHeight="1">
      <c r="A197" s="410" t="str">
        <f>'12.lan'!D514</f>
        <v>SRB Serbien</v>
      </c>
      <c r="B197" s="410" t="s">
        <v>599</v>
      </c>
      <c r="C197" s="413">
        <f>VLOOKUP(B197,'12.ppp data'!$C$3:$J$273,7,FALSE)</f>
        <v>2.879187934678324</v>
      </c>
      <c r="D197" s="413" t="str">
        <f>IF(VLOOKUP(B197,'12.ppp data'!$C$3:$J$273,8,FALSE)="est","est","-")</f>
        <v>-</v>
      </c>
      <c r="E197" s="410" t="s">
        <v>254</v>
      </c>
      <c r="F197" s="413">
        <v>2</v>
      </c>
      <c r="G197" s="413"/>
      <c r="H197" s="365"/>
      <c r="J197" s="410" t="s">
        <v>600</v>
      </c>
    </row>
    <row r="198" spans="1:10" ht="9.75" customHeight="1">
      <c r="A198" s="410" t="str">
        <f>'12.lan'!D515</f>
        <v>SSD Südsudan</v>
      </c>
      <c r="B198" s="410" t="s">
        <v>601</v>
      </c>
      <c r="C198" s="413">
        <f>VLOOKUP(B198,'12.ppp data'!$C$3:$J$273,7,FALSE)</f>
        <v>3.0325616327831186</v>
      </c>
      <c r="D198" s="413" t="str">
        <f>IF(VLOOKUP(B198,'12.ppp data'!$C$3:$J$273,8,FALSE)="est","est","-")</f>
        <v>est</v>
      </c>
      <c r="E198" s="410" t="s">
        <v>251</v>
      </c>
      <c r="F198" s="413">
        <v>3.7083333333333335</v>
      </c>
      <c r="G198" s="413" t="s">
        <v>244</v>
      </c>
      <c r="H198" s="365"/>
      <c r="J198" s="410" t="s">
        <v>602</v>
      </c>
    </row>
    <row r="199" spans="1:10" ht="9.75" customHeight="1">
      <c r="A199" s="410" t="str">
        <f>'12.lan'!D516</f>
        <v>STP São Tomé und Príncipe</v>
      </c>
      <c r="B199" s="410" t="s">
        <v>603</v>
      </c>
      <c r="C199" s="413">
        <f>VLOOKUP(B199,'12.ppp data'!$C$3:$J$273,7,FALSE)</f>
        <v>3.0325616327831186</v>
      </c>
      <c r="D199" s="413" t="str">
        <f>IF(VLOOKUP(B199,'12.ppp data'!$C$3:$J$273,8,FALSE)="est","est","-")</f>
        <v>est</v>
      </c>
      <c r="E199" s="410" t="s">
        <v>251</v>
      </c>
      <c r="F199" s="413">
        <v>3.7083333333333335</v>
      </c>
      <c r="G199" s="413" t="s">
        <v>244</v>
      </c>
      <c r="H199" s="365"/>
      <c r="J199" s="410" t="s">
        <v>604</v>
      </c>
    </row>
    <row r="200" spans="1:10" ht="9.75" customHeight="1">
      <c r="A200" s="410" t="str">
        <f>'12.lan'!D517</f>
        <v>SUR Suriname</v>
      </c>
      <c r="B200" s="410" t="s">
        <v>605</v>
      </c>
      <c r="C200" s="413">
        <f>VLOOKUP(B200,'12.ppp data'!$C$3:$J$273,7,FALSE)</f>
        <v>2.8687339203446278</v>
      </c>
      <c r="D200" s="413" t="str">
        <f>IF(VLOOKUP(B200,'12.ppp data'!$C$3:$J$273,8,FALSE)="est","est","-")</f>
        <v>-</v>
      </c>
      <c r="E200" s="410" t="s">
        <v>245</v>
      </c>
      <c r="F200" s="413">
        <v>3.4210526315789473</v>
      </c>
      <c r="G200" s="413" t="s">
        <v>244</v>
      </c>
      <c r="H200" s="365"/>
      <c r="J200" s="410" t="s">
        <v>606</v>
      </c>
    </row>
    <row r="201" spans="1:10" ht="9.75" customHeight="1">
      <c r="A201" s="410" t="str">
        <f>'12.lan'!D518</f>
        <v>SVK Slowakei</v>
      </c>
      <c r="B201" s="410" t="s">
        <v>607</v>
      </c>
      <c r="C201" s="413">
        <f>VLOOKUP(B201,'12.ppp data'!$C$3:$J$273,7,FALSE)</f>
        <v>2.0553886123249323</v>
      </c>
      <c r="D201" s="413" t="str">
        <f>IF(VLOOKUP(B201,'12.ppp data'!$C$3:$J$273,8,FALSE)="est","est","-")</f>
        <v>-</v>
      </c>
      <c r="E201" s="410" t="s">
        <v>254</v>
      </c>
      <c r="F201" s="413">
        <v>1</v>
      </c>
      <c r="G201" s="413"/>
      <c r="H201" s="365"/>
      <c r="J201" s="410" t="s">
        <v>608</v>
      </c>
    </row>
    <row r="202" spans="1:10" ht="9.75" customHeight="1">
      <c r="A202" s="410" t="str">
        <f>'12.lan'!D519</f>
        <v>SVN Slowenien</v>
      </c>
      <c r="B202" s="410" t="s">
        <v>609</v>
      </c>
      <c r="C202" s="413">
        <f>VLOOKUP(B202,'12.ppp data'!$C$3:$J$273,7,FALSE)</f>
        <v>1.6619550241731358</v>
      </c>
      <c r="D202" s="413" t="str">
        <f>IF(VLOOKUP(B202,'12.ppp data'!$C$3:$J$273,8,FALSE)="est","est","-")</f>
        <v>-</v>
      </c>
      <c r="E202" s="410" t="s">
        <v>254</v>
      </c>
      <c r="F202" s="413">
        <v>1</v>
      </c>
      <c r="G202" s="413"/>
      <c r="H202" s="365"/>
      <c r="J202" s="410" t="s">
        <v>610</v>
      </c>
    </row>
    <row r="203" spans="1:10" ht="9.75" customHeight="1">
      <c r="A203" s="410" t="str">
        <f>'12.lan'!D520</f>
        <v>SWE Schweden</v>
      </c>
      <c r="B203" s="410" t="s">
        <v>611</v>
      </c>
      <c r="C203" s="413">
        <f>VLOOKUP(B203,'12.ppp data'!$C$3:$J$273,7,FALSE)</f>
        <v>1.0572364232401117</v>
      </c>
      <c r="D203" s="413" t="str">
        <f>IF(VLOOKUP(B203,'12.ppp data'!$C$3:$J$273,8,FALSE)="est","est","-")</f>
        <v>-</v>
      </c>
      <c r="E203" s="410" t="s">
        <v>254</v>
      </c>
      <c r="F203" s="413">
        <v>1</v>
      </c>
      <c r="G203" s="413"/>
      <c r="H203" s="365"/>
      <c r="J203" s="410" t="s">
        <v>612</v>
      </c>
    </row>
    <row r="204" spans="1:10" ht="9.75" customHeight="1">
      <c r="A204" s="410" t="str">
        <f>'12.lan'!D521</f>
        <v>SWZ Swasiland</v>
      </c>
      <c r="B204" s="410" t="s">
        <v>613</v>
      </c>
      <c r="C204" s="413">
        <f>VLOOKUP(B204,'12.ppp data'!$C$3:$J$273,7,FALSE)</f>
        <v>2.9684852436677032</v>
      </c>
      <c r="D204" s="413" t="str">
        <f>IF(VLOOKUP(B204,'12.ppp data'!$C$3:$J$273,8,FALSE)="est","est","-")</f>
        <v>-</v>
      </c>
      <c r="E204" s="410" t="s">
        <v>251</v>
      </c>
      <c r="F204" s="413">
        <v>3.7083333333333335</v>
      </c>
      <c r="G204" s="413" t="s">
        <v>244</v>
      </c>
      <c r="H204" s="365"/>
      <c r="J204" s="410" t="s">
        <v>614</v>
      </c>
    </row>
    <row r="205" spans="1:10" ht="9.75" customHeight="1">
      <c r="A205" s="410" t="str">
        <f>'12.lan'!D522</f>
        <v>SXM Sint Maarten (niederl. Teil)</v>
      </c>
      <c r="B205" s="410" t="s">
        <v>615</v>
      </c>
      <c r="C205" s="413">
        <f>VLOOKUP(B205,'12.ppp data'!$C$3:$J$273,7,FALSE)</f>
        <v>1.9628994497935313</v>
      </c>
      <c r="D205" s="413" t="str">
        <f>IF(VLOOKUP(B205,'12.ppp data'!$C$3:$J$273,8,FALSE)="est","est","-")</f>
        <v>est</v>
      </c>
      <c r="E205" s="410" t="s">
        <v>245</v>
      </c>
      <c r="F205" s="413">
        <v>3.4210526315789473</v>
      </c>
      <c r="G205" s="413" t="s">
        <v>244</v>
      </c>
      <c r="H205" s="365"/>
      <c r="I205" s="412"/>
      <c r="J205" s="410" t="s">
        <v>616</v>
      </c>
    </row>
    <row r="206" spans="1:10" ht="9.75" customHeight="1">
      <c r="A206" s="410" t="str">
        <f>'12.lan'!D523</f>
        <v>SYC Seychellen</v>
      </c>
      <c r="B206" s="410" t="s">
        <v>617</v>
      </c>
      <c r="C206" s="413">
        <f>VLOOKUP(B206,'12.ppp data'!$C$3:$J$273,7,FALSE)</f>
        <v>1.9670340451638095</v>
      </c>
      <c r="D206" s="413" t="str">
        <f>IF(VLOOKUP(B206,'12.ppp data'!$C$3:$J$273,8,FALSE)="est","est","-")</f>
        <v>-</v>
      </c>
      <c r="E206" s="410" t="s">
        <v>251</v>
      </c>
      <c r="F206" s="413">
        <v>3.7083333333333335</v>
      </c>
      <c r="G206" s="413" t="s">
        <v>244</v>
      </c>
      <c r="H206" s="365"/>
      <c r="J206" s="410" t="s">
        <v>618</v>
      </c>
    </row>
    <row r="207" spans="1:10" ht="9.75" customHeight="1">
      <c r="A207" s="410" t="str">
        <f>'12.lan'!D524</f>
        <v>SYR Syrien, Arabische Republik</v>
      </c>
      <c r="B207" s="410" t="s">
        <v>619</v>
      </c>
      <c r="C207" s="413">
        <f>VLOOKUP(B207,'12.ppp data'!$C$3:$J$273,7,FALSE)</f>
        <v>3.0027294367224551</v>
      </c>
      <c r="D207" s="413" t="str">
        <f>IF(VLOOKUP(B207,'12.ppp data'!$C$3:$J$273,8,FALSE)="est","est","-")</f>
        <v>est</v>
      </c>
      <c r="E207" s="410" t="s">
        <v>248</v>
      </c>
      <c r="F207" s="413">
        <v>4.1785714285714288</v>
      </c>
      <c r="G207" s="413" t="s">
        <v>244</v>
      </c>
      <c r="H207" s="365"/>
      <c r="J207" s="410" t="s">
        <v>620</v>
      </c>
    </row>
    <row r="208" spans="1:10" ht="9.75" customHeight="1">
      <c r="A208" s="410" t="str">
        <f>'12.lan'!D525</f>
        <v>TCA Turks- und Caicosinseln</v>
      </c>
      <c r="B208" s="410" t="s">
        <v>621</v>
      </c>
      <c r="C208" s="413">
        <f>VLOOKUP(B208,'12.ppp data'!$C$3:$J$273,7,FALSE)</f>
        <v>1.9628994497935313</v>
      </c>
      <c r="D208" s="413" t="str">
        <f>IF(VLOOKUP(B208,'12.ppp data'!$C$3:$J$273,8,FALSE)="est","est","-")</f>
        <v>est</v>
      </c>
      <c r="E208" s="410" t="s">
        <v>245</v>
      </c>
      <c r="F208" s="413">
        <v>3.4210526315789473</v>
      </c>
      <c r="G208" s="413" t="s">
        <v>244</v>
      </c>
      <c r="H208" s="365"/>
      <c r="J208" s="410" t="s">
        <v>622</v>
      </c>
    </row>
    <row r="209" spans="1:10" ht="9.75" customHeight="1">
      <c r="A209" s="410" t="str">
        <f>'12.lan'!D526</f>
        <v>TCD Tschad</v>
      </c>
      <c r="B209" s="410" t="s">
        <v>623</v>
      </c>
      <c r="C209" s="413">
        <f>VLOOKUP(B209,'12.ppp data'!$C$3:$J$273,7,FALSE)</f>
        <v>3.2719238069892578</v>
      </c>
      <c r="D209" s="413" t="str">
        <f>IF(VLOOKUP(B209,'12.ppp data'!$C$3:$J$273,8,FALSE)="est","est","-")</f>
        <v>-</v>
      </c>
      <c r="E209" s="410" t="s">
        <v>251</v>
      </c>
      <c r="F209" s="413">
        <v>3</v>
      </c>
      <c r="G209" s="413"/>
      <c r="H209" s="365"/>
      <c r="J209" s="410" t="s">
        <v>624</v>
      </c>
    </row>
    <row r="210" spans="1:10" ht="9.75" customHeight="1">
      <c r="A210" s="410" t="str">
        <f>'12.lan'!D527</f>
        <v>TGO Togo</v>
      </c>
      <c r="B210" s="410" t="s">
        <v>625</v>
      </c>
      <c r="C210" s="413">
        <f>VLOOKUP(B210,'12.ppp data'!$C$3:$J$273,7,FALSE)</f>
        <v>2.8701773324680016</v>
      </c>
      <c r="D210" s="413" t="str">
        <f>IF(VLOOKUP(B210,'12.ppp data'!$C$3:$J$273,8,FALSE)="est","est","-")</f>
        <v>-</v>
      </c>
      <c r="E210" s="410" t="s">
        <v>251</v>
      </c>
      <c r="F210" s="413">
        <v>3.7083333333333335</v>
      </c>
      <c r="G210" s="413" t="s">
        <v>244</v>
      </c>
      <c r="H210" s="365"/>
      <c r="J210" s="410" t="s">
        <v>626</v>
      </c>
    </row>
    <row r="211" spans="1:10" ht="9.75" customHeight="1">
      <c r="A211" s="410" t="str">
        <f>'12.lan'!D528</f>
        <v>THA Thailand</v>
      </c>
      <c r="B211" s="410" t="s">
        <v>627</v>
      </c>
      <c r="C211" s="413">
        <f>VLOOKUP(B211,'12.ppp data'!$C$3:$J$273,7,FALSE)</f>
        <v>3.0545723851265998</v>
      </c>
      <c r="D211" s="413" t="str">
        <f>IF(VLOOKUP(B211,'12.ppp data'!$C$3:$J$273,8,FALSE)="est","est","-")</f>
        <v>-</v>
      </c>
      <c r="E211" s="410" t="s">
        <v>248</v>
      </c>
      <c r="F211" s="413">
        <v>4</v>
      </c>
      <c r="G211" s="413"/>
      <c r="H211" s="365"/>
      <c r="J211" s="410" t="s">
        <v>628</v>
      </c>
    </row>
    <row r="212" spans="1:10" ht="9.75" customHeight="1">
      <c r="A212" s="410" t="str">
        <f>'12.lan'!D529</f>
        <v>TJK Tadschikistan</v>
      </c>
      <c r="B212" s="410" t="s">
        <v>629</v>
      </c>
      <c r="C212" s="413">
        <f>VLOOKUP(B212,'12.ppp data'!$C$3:$J$273,7,FALSE)</f>
        <v>4.4544480905092065</v>
      </c>
      <c r="D212" s="413" t="str">
        <f>IF(VLOOKUP(B212,'12.ppp data'!$C$3:$J$273,8,FALSE)="est","est","-")</f>
        <v>-</v>
      </c>
      <c r="E212" s="410" t="s">
        <v>248</v>
      </c>
      <c r="F212" s="413">
        <v>4.1785714285714288</v>
      </c>
      <c r="G212" s="413" t="s">
        <v>244</v>
      </c>
      <c r="H212" s="365"/>
      <c r="J212" s="410" t="s">
        <v>630</v>
      </c>
    </row>
    <row r="213" spans="1:10" ht="9.75" customHeight="1">
      <c r="A213" s="410" t="str">
        <f>'12.lan'!D530</f>
        <v>TKM Turkmenistan</v>
      </c>
      <c r="B213" s="410" t="s">
        <v>631</v>
      </c>
      <c r="C213" s="413">
        <f>VLOOKUP(B213,'12.ppp data'!$C$3:$J$273,7,FALSE)</f>
        <v>2.6928641663820763</v>
      </c>
      <c r="D213" s="413" t="str">
        <f>IF(VLOOKUP(B213,'12.ppp data'!$C$3:$J$273,8,FALSE)="est","est","-")</f>
        <v>-</v>
      </c>
      <c r="E213" s="410" t="s">
        <v>248</v>
      </c>
      <c r="F213" s="413">
        <v>4.1785714285714288</v>
      </c>
      <c r="G213" s="413" t="s">
        <v>244</v>
      </c>
      <c r="H213" s="365"/>
      <c r="J213" s="410" t="s">
        <v>632</v>
      </c>
    </row>
    <row r="214" spans="1:10" ht="9.75" customHeight="1">
      <c r="A214" s="410" t="str">
        <f>'12.lan'!D531</f>
        <v>TLS Osttimor (Timor-Leste)</v>
      </c>
      <c r="B214" s="410" t="s">
        <v>633</v>
      </c>
      <c r="C214" s="413">
        <f>VLOOKUP(B214,'12.ppp data'!$C$3:$J$273,7,FALSE)</f>
        <v>3.5744298356102879</v>
      </c>
      <c r="D214" s="413" t="str">
        <f>IF(VLOOKUP(B214,'12.ppp data'!$C$3:$J$273,8,FALSE)="est","est","-")</f>
        <v>-</v>
      </c>
      <c r="E214" s="410" t="s">
        <v>248</v>
      </c>
      <c r="F214" s="413">
        <v>4.1785714285714288</v>
      </c>
      <c r="G214" s="413" t="s">
        <v>244</v>
      </c>
      <c r="H214" s="365"/>
      <c r="J214" s="410" t="s">
        <v>634</v>
      </c>
    </row>
    <row r="215" spans="1:10" ht="9.75" customHeight="1">
      <c r="A215" s="410" t="str">
        <f>'12.lan'!D532</f>
        <v>TON Tonga</v>
      </c>
      <c r="B215" s="410" t="s">
        <v>635</v>
      </c>
      <c r="C215" s="413">
        <f>VLOOKUP(B215,'12.ppp data'!$C$3:$J$273,7,FALSE)</f>
        <v>1.7488285625957432</v>
      </c>
      <c r="D215" s="413" t="str">
        <f>IF(VLOOKUP(B215,'12.ppp data'!$C$3:$J$273,8,FALSE)="est","est","-")</f>
        <v>-</v>
      </c>
      <c r="E215" s="410" t="s">
        <v>265</v>
      </c>
      <c r="F215" s="413">
        <v>3</v>
      </c>
      <c r="G215" s="413" t="s">
        <v>244</v>
      </c>
      <c r="H215" s="365"/>
      <c r="J215" s="410" t="s">
        <v>636</v>
      </c>
    </row>
    <row r="216" spans="1:10" ht="9.75" customHeight="1">
      <c r="A216" s="410" t="str">
        <f>'12.lan'!D533</f>
        <v>TTO Trinidad und Tobago</v>
      </c>
      <c r="B216" s="410" t="s">
        <v>637</v>
      </c>
      <c r="C216" s="413">
        <f>VLOOKUP(B216,'12.ppp data'!$C$3:$J$273,7,FALSE)</f>
        <v>2.1624826708370994</v>
      </c>
      <c r="D216" s="413" t="str">
        <f>IF(VLOOKUP(B216,'12.ppp data'!$C$3:$J$273,8,FALSE)="est","est","-")</f>
        <v>-</v>
      </c>
      <c r="E216" s="410" t="s">
        <v>245</v>
      </c>
      <c r="F216" s="413">
        <v>3.4210526315789473</v>
      </c>
      <c r="G216" s="413" t="s">
        <v>244</v>
      </c>
      <c r="H216" s="365"/>
      <c r="J216" s="410" t="s">
        <v>638</v>
      </c>
    </row>
    <row r="217" spans="1:10" ht="9.75" customHeight="1">
      <c r="A217" s="410" t="str">
        <f>'12.lan'!D534</f>
        <v>TUN Tunesien</v>
      </c>
      <c r="B217" s="410" t="s">
        <v>639</v>
      </c>
      <c r="C217" s="413">
        <f>VLOOKUP(B217,'12.ppp data'!$C$3:$J$273,7,FALSE)</f>
        <v>3.8129934750178731</v>
      </c>
      <c r="D217" s="413" t="str">
        <f>IF(VLOOKUP(B217,'12.ppp data'!$C$3:$J$273,8,FALSE)="est","est","-")</f>
        <v>-</v>
      </c>
      <c r="E217" s="410" t="s">
        <v>251</v>
      </c>
      <c r="F217" s="413">
        <v>3.7083333333333335</v>
      </c>
      <c r="G217" s="413" t="s">
        <v>244</v>
      </c>
      <c r="H217" s="365"/>
      <c r="J217" s="410" t="s">
        <v>640</v>
      </c>
    </row>
    <row r="218" spans="1:10" ht="9.75" customHeight="1">
      <c r="A218" s="410" t="str">
        <f>'12.lan'!D535</f>
        <v>TUR Türkei</v>
      </c>
      <c r="B218" s="410" t="s">
        <v>641</v>
      </c>
      <c r="C218" s="413">
        <f>VLOOKUP(B218,'12.ppp data'!$C$3:$J$273,7,FALSE)</f>
        <v>2.9874610343826231</v>
      </c>
      <c r="D218" s="413" t="str">
        <f>IF(VLOOKUP(B218,'12.ppp data'!$C$3:$J$273,8,FALSE)="est","est","-")</f>
        <v>-</v>
      </c>
      <c r="E218" s="410" t="s">
        <v>248</v>
      </c>
      <c r="F218" s="413">
        <v>5</v>
      </c>
      <c r="G218" s="413"/>
      <c r="H218" s="365"/>
      <c r="J218" s="410" t="s">
        <v>642</v>
      </c>
    </row>
    <row r="219" spans="1:10" ht="9.75" customHeight="1">
      <c r="A219" s="410" t="str">
        <f>'12.lan'!D536</f>
        <v>TUV Tuvalu</v>
      </c>
      <c r="B219" s="410" t="s">
        <v>643</v>
      </c>
      <c r="C219" s="413">
        <f>VLOOKUP(B219,'12.ppp data'!$C$3:$J$273,7,FALSE)</f>
        <v>1.2579217777236158</v>
      </c>
      <c r="D219" s="413" t="str">
        <f>IF(VLOOKUP(B219,'12.ppp data'!$C$3:$J$273,8,FALSE)="est","est","-")</f>
        <v>-</v>
      </c>
      <c r="E219" s="410" t="s">
        <v>265</v>
      </c>
      <c r="F219" s="413">
        <v>3</v>
      </c>
      <c r="G219" s="413" t="s">
        <v>244</v>
      </c>
      <c r="H219" s="365"/>
      <c r="J219" s="410" t="s">
        <v>644</v>
      </c>
    </row>
    <row r="220" spans="1:10" ht="9.75" customHeight="1">
      <c r="A220" s="410" t="str">
        <f>'12.lan'!D537</f>
        <v>TZA Tansania, Vereinigte Republik</v>
      </c>
      <c r="B220" s="410" t="s">
        <v>645</v>
      </c>
      <c r="C220" s="413">
        <f>VLOOKUP(B220,'12.ppp data'!$C$3:$J$273,7,FALSE)</f>
        <v>3.5139329251773668</v>
      </c>
      <c r="D220" s="413" t="str">
        <f>IF(VLOOKUP(B220,'12.ppp data'!$C$3:$J$273,8,FALSE)="est","est","-")</f>
        <v>-</v>
      </c>
      <c r="E220" s="410" t="s">
        <v>251</v>
      </c>
      <c r="F220" s="413">
        <v>3</v>
      </c>
      <c r="G220" s="413"/>
      <c r="H220" s="365"/>
      <c r="J220" s="410" t="s">
        <v>646</v>
      </c>
    </row>
    <row r="221" spans="1:10" ht="9.75" customHeight="1">
      <c r="A221" s="410" t="str">
        <f>'12.lan'!D538</f>
        <v>UGA Uganda</v>
      </c>
      <c r="B221" s="410" t="s">
        <v>647</v>
      </c>
      <c r="C221" s="413">
        <f>VLOOKUP(B221,'12.ppp data'!$C$3:$J$273,7,FALSE)</f>
        <v>3.5283370555202107</v>
      </c>
      <c r="D221" s="413" t="str">
        <f>IF(VLOOKUP(B221,'12.ppp data'!$C$3:$J$273,8,FALSE)="est","est","-")</f>
        <v>-</v>
      </c>
      <c r="E221" s="410" t="s">
        <v>251</v>
      </c>
      <c r="F221" s="413">
        <v>3</v>
      </c>
      <c r="G221" s="413"/>
      <c r="H221" s="365"/>
      <c r="J221" s="410" t="s">
        <v>648</v>
      </c>
    </row>
    <row r="222" spans="1:10" ht="9.75" customHeight="1">
      <c r="A222" s="410" t="str">
        <f>'12.lan'!D539</f>
        <v>UKR Ukraine</v>
      </c>
      <c r="B222" s="410" t="s">
        <v>649</v>
      </c>
      <c r="C222" s="413">
        <f>VLOOKUP(B222,'12.ppp data'!$C$3:$J$273,7,FALSE)</f>
        <v>3.6818887522135197</v>
      </c>
      <c r="D222" s="413" t="str">
        <f>IF(VLOOKUP(B222,'12.ppp data'!$C$3:$J$273,8,FALSE)="est","est","-")</f>
        <v>-</v>
      </c>
      <c r="E222" s="410" t="s">
        <v>254</v>
      </c>
      <c r="F222" s="413">
        <v>6</v>
      </c>
      <c r="G222" s="413"/>
      <c r="H222" s="365"/>
      <c r="J222" s="410" t="s">
        <v>650</v>
      </c>
    </row>
    <row r="223" spans="1:10" ht="9.75" customHeight="1">
      <c r="A223" s="410" t="str">
        <f>'12.lan'!D540</f>
        <v>URY Uruguay</v>
      </c>
      <c r="B223" s="410" t="s">
        <v>651</v>
      </c>
      <c r="C223" s="413">
        <f>VLOOKUP(B223,'12.ppp data'!$C$3:$J$273,7,FALSE)</f>
        <v>1.4657002230566731</v>
      </c>
      <c r="D223" s="413" t="str">
        <f>IF(VLOOKUP(B223,'12.ppp data'!$C$3:$J$273,8,FALSE)="est","est","-")</f>
        <v>-</v>
      </c>
      <c r="E223" s="410" t="s">
        <v>245</v>
      </c>
      <c r="F223" s="413">
        <v>1</v>
      </c>
      <c r="G223" s="413"/>
      <c r="H223" s="365"/>
      <c r="J223" s="410" t="s">
        <v>652</v>
      </c>
    </row>
    <row r="224" spans="1:10" ht="9.75" customHeight="1">
      <c r="A224" s="410" t="str">
        <f>'12.lan'!D541</f>
        <v>USA Vereinigte Staaten von Amerika</v>
      </c>
      <c r="B224" s="410" t="s">
        <v>653</v>
      </c>
      <c r="C224" s="413">
        <f>VLOOKUP(B224,'12.ppp data'!$C$3:$J$273,7,FALSE)</f>
        <v>1.1294900000000001</v>
      </c>
      <c r="D224" s="413" t="str">
        <f>IF(VLOOKUP(B224,'12.ppp data'!$C$3:$J$273,8,FALSE)="est","est","-")</f>
        <v>-</v>
      </c>
      <c r="E224" s="410" t="s">
        <v>245</v>
      </c>
      <c r="F224" s="413">
        <v>4</v>
      </c>
      <c r="G224" s="413"/>
      <c r="H224" s="365"/>
      <c r="J224" s="410" t="s">
        <v>654</v>
      </c>
    </row>
    <row r="225" spans="1:10" ht="9.75" customHeight="1">
      <c r="A225" s="410" t="str">
        <f>'12.lan'!D542</f>
        <v>UZB Usbekistan</v>
      </c>
      <c r="B225" s="410" t="s">
        <v>655</v>
      </c>
      <c r="C225" s="413">
        <f>VLOOKUP(B225,'12.ppp data'!$C$3:$J$273,7,FALSE)</f>
        <v>5.110891272086727</v>
      </c>
      <c r="D225" s="413" t="str">
        <f>IF(VLOOKUP(B225,'12.ppp data'!$C$3:$J$273,8,FALSE)="est","est","-")</f>
        <v>-</v>
      </c>
      <c r="E225" s="410" t="s">
        <v>248</v>
      </c>
      <c r="F225" s="413">
        <v>4.1785714285714288</v>
      </c>
      <c r="G225" s="413" t="s">
        <v>244</v>
      </c>
      <c r="H225" s="365"/>
      <c r="J225" s="410" t="s">
        <v>656</v>
      </c>
    </row>
    <row r="226" spans="1:10" ht="9.75" customHeight="1">
      <c r="A226" s="410" t="str">
        <f>'12.lan'!D543</f>
        <v>VCT St. Vincent und die Grenadinen</v>
      </c>
      <c r="B226" s="410" t="s">
        <v>657</v>
      </c>
      <c r="C226" s="413">
        <f>VLOOKUP(B226,'12.ppp data'!$C$3:$J$273,7,FALSE)</f>
        <v>1.8512874582147087</v>
      </c>
      <c r="D226" s="413" t="str">
        <f>IF(VLOOKUP(B226,'12.ppp data'!$C$3:$J$273,8,FALSE)="est","est","-")</f>
        <v>-</v>
      </c>
      <c r="E226" s="410" t="s">
        <v>245</v>
      </c>
      <c r="F226" s="413">
        <v>3.4210526315789473</v>
      </c>
      <c r="G226" s="413" t="s">
        <v>244</v>
      </c>
      <c r="H226" s="365"/>
      <c r="J226" s="410" t="s">
        <v>658</v>
      </c>
    </row>
    <row r="227" spans="1:10" ht="9.75" customHeight="1">
      <c r="A227" s="410" t="str">
        <f>'12.lan'!D544</f>
        <v>VEN Venezuela</v>
      </c>
      <c r="B227" s="410" t="s">
        <v>659</v>
      </c>
      <c r="C227" s="413">
        <f>VLOOKUP(B227,'12.ppp data'!$C$3:$J$273,7,FALSE)</f>
        <v>1.9628994497935313</v>
      </c>
      <c r="D227" s="413" t="str">
        <f>IF(VLOOKUP(B227,'12.ppp data'!$C$3:$J$273,8,FALSE)="est","est","-")</f>
        <v>est</v>
      </c>
      <c r="E227" s="410" t="s">
        <v>245</v>
      </c>
      <c r="F227" s="413">
        <v>3</v>
      </c>
      <c r="G227" s="413"/>
      <c r="H227" s="365"/>
      <c r="J227" s="410" t="s">
        <v>660</v>
      </c>
    </row>
    <row r="228" spans="1:10" ht="9.75" customHeight="1">
      <c r="A228" s="410" t="str">
        <f>'12.lan'!D545</f>
        <v>VGB Britische Jungferninseln</v>
      </c>
      <c r="B228" s="410" t="s">
        <v>661</v>
      </c>
      <c r="C228" s="413">
        <f>VLOOKUP(B228,'12.ppp data'!$C$3:$J$273,7,FALSE)</f>
        <v>1.9628994497935313</v>
      </c>
      <c r="D228" s="413" t="str">
        <f>IF(VLOOKUP(B228,'12.ppp data'!$C$3:$J$273,8,FALSE)="est","est","-")</f>
        <v>est</v>
      </c>
      <c r="E228" s="410" t="s">
        <v>245</v>
      </c>
      <c r="F228" s="413">
        <v>3.4210526315789473</v>
      </c>
      <c r="G228" s="413" t="s">
        <v>244</v>
      </c>
      <c r="H228" s="365"/>
      <c r="J228" s="410" t="s">
        <v>662</v>
      </c>
    </row>
    <row r="229" spans="1:10" ht="9.75" customHeight="1">
      <c r="A229" s="410" t="str">
        <f>'12.lan'!D546</f>
        <v>VIR Amerikanische Jungferninseln</v>
      </c>
      <c r="B229" s="410" t="s">
        <v>663</v>
      </c>
      <c r="C229" s="413">
        <f>VLOOKUP(B229,'12.ppp data'!$C$3:$J$273,7,FALSE)</f>
        <v>1.9628994497935313</v>
      </c>
      <c r="D229" s="413" t="str">
        <f>IF(VLOOKUP(B229,'12.ppp data'!$C$3:$J$273,8,FALSE)="est","est","-")</f>
        <v>est</v>
      </c>
      <c r="E229" s="410" t="s">
        <v>245</v>
      </c>
      <c r="F229" s="413">
        <v>3.4210526315789473</v>
      </c>
      <c r="G229" s="413" t="s">
        <v>244</v>
      </c>
      <c r="H229" s="365"/>
      <c r="J229" s="410" t="s">
        <v>664</v>
      </c>
    </row>
    <row r="230" spans="1:10" ht="9.75" customHeight="1">
      <c r="A230" s="410" t="str">
        <f>'12.lan'!D547</f>
        <v>VNM Vietnam</v>
      </c>
      <c r="B230" s="410" t="s">
        <v>665</v>
      </c>
      <c r="C230" s="413">
        <f>VLOOKUP(B230,'12.ppp data'!$C$3:$J$273,7,FALSE)</f>
        <v>3.2788396696440074</v>
      </c>
      <c r="D230" s="413" t="str">
        <f>IF(VLOOKUP(B230,'12.ppp data'!$C$3:$J$273,8,FALSE)="est","est","-")</f>
        <v>-</v>
      </c>
      <c r="E230" s="410" t="s">
        <v>248</v>
      </c>
      <c r="F230" s="413">
        <v>4.1785714285714288</v>
      </c>
      <c r="G230" s="413" t="s">
        <v>244</v>
      </c>
      <c r="H230" s="365"/>
      <c r="J230" s="410" t="s">
        <v>666</v>
      </c>
    </row>
    <row r="231" spans="1:10" ht="9.75" customHeight="1">
      <c r="A231" s="410" t="str">
        <f>'12.lan'!D548</f>
        <v>VUT Vanuatu</v>
      </c>
      <c r="B231" s="410" t="s">
        <v>667</v>
      </c>
      <c r="C231" s="413">
        <f>VLOOKUP(B231,'12.ppp data'!$C$3:$J$273,7,FALSE)</f>
        <v>1.1594436656360083</v>
      </c>
      <c r="D231" s="413" t="str">
        <f>IF(VLOOKUP(B231,'12.ppp data'!$C$3:$J$273,8,FALSE)="est","est","-")</f>
        <v>-</v>
      </c>
      <c r="E231" s="410" t="s">
        <v>265</v>
      </c>
      <c r="F231" s="413">
        <v>3</v>
      </c>
      <c r="G231" s="413" t="s">
        <v>244</v>
      </c>
      <c r="H231" s="365"/>
      <c r="J231" s="410" t="s">
        <v>668</v>
      </c>
    </row>
    <row r="232" spans="1:10" ht="9.75" customHeight="1">
      <c r="A232" s="410" t="str">
        <f>'12.lan'!D549</f>
        <v>WSM Samoa</v>
      </c>
      <c r="B232" s="410" t="s">
        <v>669</v>
      </c>
      <c r="C232" s="413">
        <f>VLOOKUP(B232,'12.ppp data'!$C$3:$J$273,7,FALSE)</f>
        <v>0.68766222141936417</v>
      </c>
      <c r="D232" s="413" t="str">
        <f>IF(VLOOKUP(B232,'12.ppp data'!$C$3:$J$273,8,FALSE)="est","est","-")</f>
        <v>-</v>
      </c>
      <c r="E232" s="410" t="s">
        <v>265</v>
      </c>
      <c r="F232" s="413">
        <v>3</v>
      </c>
      <c r="G232" s="413" t="s">
        <v>244</v>
      </c>
      <c r="H232" s="365"/>
      <c r="J232" s="410" t="s">
        <v>670</v>
      </c>
    </row>
    <row r="233" spans="1:10" ht="9.75" customHeight="1">
      <c r="A233" s="410" t="str">
        <f>'12.lan'!D550</f>
        <v>XKX Kosovo</v>
      </c>
      <c r="B233" s="410" t="s">
        <v>671</v>
      </c>
      <c r="C233" s="413">
        <f>VLOOKUP(B233,'12.ppp data'!$C$3:$J$273,7,FALSE)</f>
        <v>3.5152535645644845</v>
      </c>
      <c r="D233" s="413" t="str">
        <f>IF(VLOOKUP(B233,'12.ppp data'!$C$3:$J$273,8,FALSE)="est","est","-")</f>
        <v>-</v>
      </c>
      <c r="E233" s="410" t="s">
        <v>254</v>
      </c>
      <c r="F233" s="413">
        <v>2</v>
      </c>
      <c r="G233" s="413" t="s">
        <v>244</v>
      </c>
      <c r="H233" s="365"/>
      <c r="J233" s="410" t="s">
        <v>672</v>
      </c>
    </row>
    <row r="234" spans="1:10" ht="9.75" customHeight="1">
      <c r="A234" s="410" t="str">
        <f>'12.lan'!D551</f>
        <v>YEM Jemen</v>
      </c>
      <c r="B234" s="410" t="s">
        <v>673</v>
      </c>
      <c r="C234" s="413">
        <f>VLOOKUP(B234,'12.ppp data'!$C$3:$J$273,7,FALSE)</f>
        <v>3.0027294367224551</v>
      </c>
      <c r="D234" s="413" t="str">
        <f>IF(VLOOKUP(B234,'12.ppp data'!$C$3:$J$273,8,FALSE)="est","est","-")</f>
        <v>est</v>
      </c>
      <c r="E234" s="410" t="s">
        <v>248</v>
      </c>
      <c r="F234" s="413">
        <v>4.1785714285714288</v>
      </c>
      <c r="G234" s="413" t="s">
        <v>244</v>
      </c>
      <c r="H234" s="365"/>
      <c r="J234" s="410" t="s">
        <v>674</v>
      </c>
    </row>
    <row r="235" spans="1:10" ht="9.75" customHeight="1">
      <c r="A235" s="410" t="str">
        <f>'12.lan'!D552</f>
        <v>ZAF Südafrika</v>
      </c>
      <c r="B235" s="410" t="s">
        <v>675</v>
      </c>
      <c r="C235" s="413">
        <f>VLOOKUP(B235,'12.ppp data'!$C$3:$J$273,7,FALSE)</f>
        <v>2.4721326531285115</v>
      </c>
      <c r="D235" s="413" t="str">
        <f>IF(VLOOKUP(B235,'12.ppp data'!$C$3:$J$273,8,FALSE)="est","est","-")</f>
        <v>-</v>
      </c>
      <c r="E235" s="410" t="s">
        <v>251</v>
      </c>
      <c r="F235" s="413">
        <v>1</v>
      </c>
      <c r="G235" s="413"/>
      <c r="H235" s="365"/>
      <c r="I235" s="412"/>
      <c r="J235" s="410" t="s">
        <v>676</v>
      </c>
    </row>
    <row r="236" spans="1:10" ht="9.75" customHeight="1">
      <c r="A236" s="410" t="str">
        <f>'12.lan'!D553</f>
        <v>ZMB Sambia</v>
      </c>
      <c r="B236" s="410" t="s">
        <v>677</v>
      </c>
      <c r="C236" s="413">
        <f>VLOOKUP(B236,'12.ppp data'!$C$3:$J$273,7,FALSE)</f>
        <v>3.0217667017585748</v>
      </c>
      <c r="D236" s="413" t="str">
        <f>IF(VLOOKUP(B236,'12.ppp data'!$C$3:$J$273,8,FALSE)="est","est","-")</f>
        <v>-</v>
      </c>
      <c r="E236" s="410" t="s">
        <v>251</v>
      </c>
      <c r="F236" s="413">
        <v>5</v>
      </c>
      <c r="G236" s="413"/>
      <c r="H236" s="365"/>
      <c r="J236" s="410" t="s">
        <v>678</v>
      </c>
    </row>
    <row r="237" spans="1:10" ht="9.75" customHeight="1">
      <c r="A237" s="410" t="str">
        <f>'12.lan'!D554</f>
        <v>ZWE Simbabwe</v>
      </c>
      <c r="B237" s="410" t="s">
        <v>679</v>
      </c>
      <c r="C237" s="413">
        <f>VLOOKUP(B237,'12.ppp data'!$C$3:$J$273,7,FALSE)</f>
        <v>3.0325616327831186</v>
      </c>
      <c r="D237" s="413" t="str">
        <f>IF(VLOOKUP(B237,'12.ppp data'!$C$3:$J$273,8,FALSE)="est","est","-")</f>
        <v>est</v>
      </c>
      <c r="E237" s="410" t="s">
        <v>251</v>
      </c>
      <c r="F237" s="413">
        <v>5</v>
      </c>
      <c r="G237" s="413"/>
      <c r="H237" s="365"/>
      <c r="J237" s="410" t="s">
        <v>680</v>
      </c>
    </row>
    <row r="238" spans="1:10" ht="9.75" customHeight="1">
      <c r="A238" s="410" t="str">
        <f>'12.lan'!D555</f>
        <v>Durchschnitt Afrika</v>
      </c>
      <c r="B238" s="410" t="s">
        <v>251</v>
      </c>
      <c r="C238" s="418">
        <f>'12.ppp data'!K3</f>
        <v>3.0325616327831186</v>
      </c>
      <c r="D238" s="418"/>
      <c r="E238" s="410"/>
      <c r="F238" s="418">
        <v>3.7083333333333335</v>
      </c>
      <c r="G238" s="410"/>
      <c r="H238" s="365"/>
      <c r="J238" s="410" t="s">
        <v>681</v>
      </c>
    </row>
    <row r="239" spans="1:10" ht="9.75" customHeight="1">
      <c r="A239" s="410" t="str">
        <f>'12.lan'!D556</f>
        <v>Durchschnitt Amerika</v>
      </c>
      <c r="B239" s="410" t="s">
        <v>245</v>
      </c>
      <c r="C239" s="418">
        <f>'12.ppp data'!K57</f>
        <v>1.9628994497935313</v>
      </c>
      <c r="D239" s="418"/>
      <c r="E239" s="410"/>
      <c r="F239" s="413">
        <v>3.4210526315789473</v>
      </c>
      <c r="G239" s="410"/>
      <c r="H239" s="365"/>
      <c r="J239" s="410" t="s">
        <v>682</v>
      </c>
    </row>
    <row r="240" spans="1:10" ht="9.75" customHeight="1">
      <c r="A240" s="410" t="str">
        <f>'12.lan'!D557</f>
        <v>Durchschnitt Asien</v>
      </c>
      <c r="B240" s="419" t="s">
        <v>248</v>
      </c>
      <c r="C240" s="418">
        <f>'12.ppp data'!K103</f>
        <v>3.0027294367224551</v>
      </c>
      <c r="D240" s="419"/>
      <c r="E240" s="410"/>
      <c r="F240" s="418">
        <v>4.1785714285714288</v>
      </c>
      <c r="G240" s="410"/>
      <c r="H240" s="365"/>
      <c r="J240" s="410" t="s">
        <v>683</v>
      </c>
    </row>
    <row r="241" spans="1:10" ht="9.75" customHeight="1">
      <c r="A241" s="410" t="str">
        <f>'12.lan'!D558</f>
        <v>Durchschnitt Europa</v>
      </c>
      <c r="B241" s="410" t="s">
        <v>254</v>
      </c>
      <c r="C241" s="418">
        <f>'12.ppp data'!K153</f>
        <v>1.9328616451977572</v>
      </c>
      <c r="D241" s="418"/>
      <c r="E241" s="410"/>
      <c r="F241" s="418">
        <v>2</v>
      </c>
      <c r="G241" s="410"/>
      <c r="H241" s="365"/>
      <c r="J241" s="410" t="s">
        <v>684</v>
      </c>
    </row>
    <row r="242" spans="1:10" ht="9.75" customHeight="1">
      <c r="A242" s="410" t="str">
        <f>'12.lan'!D559</f>
        <v>Durchschnitt Ozeanien</v>
      </c>
      <c r="B242" s="419" t="s">
        <v>265</v>
      </c>
      <c r="C242" s="418">
        <f>'12.ppp data'!K200</f>
        <v>1.3563308370936336</v>
      </c>
      <c r="D242" s="418"/>
      <c r="E242" s="410"/>
      <c r="F242" s="418">
        <v>3</v>
      </c>
      <c r="G242" s="410"/>
      <c r="H242" s="365"/>
      <c r="J242" s="410" t="s">
        <v>685</v>
      </c>
    </row>
    <row r="243" spans="1:10" ht="9.75" customHeight="1">
      <c r="A243" s="410" t="str">
        <f>'12.lan'!D560</f>
        <v>Durchschnitt Welt</v>
      </c>
      <c r="B243" s="364"/>
      <c r="C243" s="364">
        <v>0.97803586258736475</v>
      </c>
      <c r="D243" s="364"/>
      <c r="E243" s="420"/>
      <c r="F243" s="420">
        <v>3.2380952380952381</v>
      </c>
      <c r="G243" s="421"/>
      <c r="H243" s="365"/>
      <c r="J243" s="364" t="s">
        <v>686</v>
      </c>
    </row>
    <row r="244" spans="1:10" ht="9.75" customHeight="1">
      <c r="B244" s="364"/>
      <c r="C244" s="364"/>
      <c r="D244" s="364"/>
      <c r="E244" s="420"/>
      <c r="F244" s="420"/>
      <c r="G244" s="421"/>
      <c r="H244" s="365"/>
    </row>
    <row r="245" spans="1:10" ht="9.75" customHeight="1">
      <c r="B245" s="364"/>
      <c r="C245" s="412"/>
      <c r="D245" s="412"/>
      <c r="E245" s="422"/>
      <c r="F245" s="422"/>
      <c r="G245" s="423"/>
      <c r="H245" s="411"/>
      <c r="I245" s="412"/>
    </row>
    <row r="246" spans="1:10" ht="9.75" customHeight="1">
      <c r="B246" s="364"/>
      <c r="C246" s="364"/>
      <c r="D246" s="364"/>
      <c r="E246" s="420"/>
      <c r="F246" s="420"/>
      <c r="G246" s="421"/>
      <c r="H246" s="365"/>
    </row>
    <row r="247" spans="1:10" ht="9.75" customHeight="1">
      <c r="B247" s="364"/>
      <c r="C247" s="364"/>
      <c r="D247" s="364"/>
      <c r="E247" s="420"/>
      <c r="F247" s="420"/>
      <c r="G247" s="421"/>
      <c r="H247" s="365"/>
    </row>
    <row r="248" spans="1:10" ht="9.75" customHeight="1">
      <c r="B248" s="364"/>
      <c r="C248" s="364"/>
      <c r="D248" s="364"/>
      <c r="E248" s="420"/>
      <c r="F248" s="420"/>
      <c r="G248" s="421"/>
      <c r="H248" s="365"/>
    </row>
    <row r="249" spans="1:10" ht="9.75" customHeight="1">
      <c r="B249" s="364"/>
      <c r="C249" s="364"/>
      <c r="D249" s="364"/>
      <c r="E249" s="420"/>
      <c r="F249" s="420"/>
      <c r="G249" s="421"/>
      <c r="H249" s="365"/>
    </row>
    <row r="250" spans="1:10" ht="9.75" customHeight="1">
      <c r="B250" s="364"/>
      <c r="C250" s="364"/>
      <c r="D250" s="364"/>
      <c r="E250" s="420"/>
      <c r="F250" s="420"/>
      <c r="G250" s="421"/>
      <c r="H250" s="365"/>
    </row>
    <row r="251" spans="1:10" ht="9.75" customHeight="1">
      <c r="B251" s="364"/>
      <c r="C251" s="364"/>
      <c r="D251" s="364"/>
      <c r="E251" s="420"/>
      <c r="F251" s="420"/>
      <c r="G251" s="421"/>
      <c r="H251" s="365"/>
    </row>
    <row r="252" spans="1:10" ht="9.75" customHeight="1">
      <c r="B252" s="364"/>
      <c r="C252" s="364"/>
      <c r="D252" s="364"/>
      <c r="E252" s="420"/>
      <c r="F252" s="420"/>
      <c r="G252" s="421"/>
      <c r="H252" s="365"/>
    </row>
    <row r="253" spans="1:10" ht="9.75" customHeight="1">
      <c r="B253" s="364"/>
      <c r="C253" s="364"/>
      <c r="D253" s="364"/>
      <c r="E253" s="420"/>
      <c r="F253" s="420"/>
      <c r="G253" s="421"/>
      <c r="H253" s="365"/>
    </row>
    <row r="254" spans="1:10" ht="9.75" customHeight="1">
      <c r="B254" s="364"/>
      <c r="C254" s="364"/>
      <c r="D254" s="364"/>
      <c r="E254" s="420"/>
      <c r="F254" s="420"/>
      <c r="G254" s="421"/>
      <c r="H254" s="365"/>
    </row>
    <row r="255" spans="1:10" ht="9.75" customHeight="1">
      <c r="B255" s="364"/>
      <c r="C255" s="364"/>
      <c r="D255" s="364"/>
      <c r="E255" s="420"/>
      <c r="F255" s="420"/>
      <c r="G255" s="421"/>
      <c r="H255" s="365"/>
    </row>
    <row r="256" spans="1:10" ht="9.75" customHeight="1">
      <c r="B256" s="364"/>
      <c r="C256" s="364"/>
      <c r="D256" s="364"/>
      <c r="E256" s="420"/>
      <c r="F256" s="420"/>
      <c r="G256" s="421"/>
      <c r="H256" s="365"/>
    </row>
    <row r="257" spans="5:8" s="364" customFormat="1" ht="9.75" customHeight="1">
      <c r="E257" s="420"/>
      <c r="F257" s="420"/>
      <c r="G257" s="421"/>
      <c r="H257" s="365"/>
    </row>
    <row r="258" spans="5:8" s="364" customFormat="1" ht="9.75" customHeight="1">
      <c r="E258" s="420"/>
      <c r="F258" s="420"/>
      <c r="G258" s="421"/>
      <c r="H258" s="365"/>
    </row>
    <row r="259" spans="5:8" s="364" customFormat="1" ht="9.75" customHeight="1">
      <c r="E259" s="420"/>
      <c r="F259" s="420"/>
      <c r="G259" s="421"/>
      <c r="H259" s="365"/>
    </row>
    <row r="260" spans="5:8" s="364" customFormat="1" ht="9.75" customHeight="1">
      <c r="E260" s="420"/>
      <c r="F260" s="420"/>
      <c r="G260" s="421"/>
      <c r="H260" s="365"/>
    </row>
    <row r="261" spans="5:8" s="364" customFormat="1" ht="9.75" customHeight="1">
      <c r="E261" s="420"/>
      <c r="F261" s="420"/>
      <c r="G261" s="421"/>
      <c r="H261" s="365"/>
    </row>
    <row r="262" spans="5:8" s="364" customFormat="1" ht="9.75" customHeight="1">
      <c r="E262" s="420"/>
      <c r="F262" s="420"/>
      <c r="G262" s="421"/>
      <c r="H262" s="365"/>
    </row>
    <row r="263" spans="5:8" s="364" customFormat="1" ht="9.75" customHeight="1">
      <c r="E263" s="420"/>
      <c r="F263" s="420"/>
      <c r="G263" s="421"/>
      <c r="H263" s="365"/>
    </row>
    <row r="264" spans="5:8" s="364" customFormat="1" ht="9.75" customHeight="1">
      <c r="E264" s="420"/>
      <c r="F264" s="420"/>
      <c r="G264" s="421"/>
      <c r="H264" s="365"/>
    </row>
    <row r="265" spans="5:8" s="364" customFormat="1" ht="9.75" customHeight="1">
      <c r="E265" s="420"/>
      <c r="F265" s="420"/>
      <c r="G265" s="421"/>
      <c r="H265" s="365"/>
    </row>
    <row r="266" spans="5:8" s="364" customFormat="1" ht="9.75" customHeight="1">
      <c r="E266" s="420"/>
      <c r="F266" s="420"/>
      <c r="G266" s="421"/>
      <c r="H266" s="365"/>
    </row>
    <row r="267" spans="5:8" s="364" customFormat="1" ht="9.75" customHeight="1">
      <c r="E267" s="420"/>
      <c r="F267" s="420"/>
      <c r="G267" s="421"/>
      <c r="H267" s="365"/>
    </row>
    <row r="268" spans="5:8" s="364" customFormat="1" ht="9.75" customHeight="1">
      <c r="E268" s="420"/>
      <c r="F268" s="420"/>
      <c r="G268" s="421"/>
      <c r="H268" s="365"/>
    </row>
    <row r="269" spans="5:8" s="364" customFormat="1" ht="9.75" customHeight="1">
      <c r="E269" s="420"/>
      <c r="F269" s="420"/>
      <c r="G269" s="421"/>
      <c r="H269" s="365"/>
    </row>
    <row r="270" spans="5:8" s="364" customFormat="1" ht="9.75" customHeight="1">
      <c r="E270" s="420"/>
      <c r="F270" s="420"/>
      <c r="G270" s="421"/>
      <c r="H270" s="365"/>
    </row>
    <row r="271" spans="5:8" s="364" customFormat="1" ht="9.75" customHeight="1">
      <c r="E271" s="420"/>
      <c r="F271" s="420"/>
      <c r="G271" s="421"/>
      <c r="H271" s="365"/>
    </row>
    <row r="272" spans="5:8" s="364" customFormat="1" ht="9.75" customHeight="1">
      <c r="E272" s="420"/>
      <c r="F272" s="420"/>
      <c r="G272" s="421"/>
      <c r="H272" s="365"/>
    </row>
    <row r="273" spans="2:9" ht="9.75" customHeight="1">
      <c r="B273" s="364"/>
      <c r="C273" s="364"/>
      <c r="D273" s="364"/>
      <c r="E273" s="420"/>
      <c r="F273" s="420"/>
      <c r="G273" s="421"/>
      <c r="H273" s="365"/>
    </row>
    <row r="274" spans="2:9" ht="9.75" customHeight="1">
      <c r="B274" s="364"/>
      <c r="C274" s="364"/>
      <c r="D274" s="364"/>
      <c r="E274" s="420"/>
      <c r="F274" s="420"/>
      <c r="G274" s="421"/>
      <c r="H274" s="365"/>
    </row>
    <row r="275" spans="2:9" ht="9.75" customHeight="1">
      <c r="B275" s="364"/>
      <c r="C275" s="364"/>
      <c r="D275" s="364"/>
      <c r="E275" s="420"/>
      <c r="F275" s="420"/>
      <c r="G275" s="421"/>
      <c r="H275" s="365"/>
    </row>
    <row r="276" spans="2:9" ht="9.75" customHeight="1">
      <c r="B276" s="364"/>
      <c r="C276" s="364"/>
      <c r="D276" s="364"/>
      <c r="E276" s="420"/>
      <c r="F276" s="420"/>
      <c r="G276" s="421"/>
      <c r="H276" s="365"/>
    </row>
    <row r="277" spans="2:9" ht="9.75" customHeight="1">
      <c r="B277" s="412"/>
      <c r="C277" s="412"/>
      <c r="D277" s="412"/>
      <c r="E277" s="422"/>
      <c r="F277" s="422"/>
      <c r="G277" s="423"/>
      <c r="H277" s="411"/>
      <c r="I277" s="412"/>
    </row>
    <row r="278" spans="2:9" ht="9.75" customHeight="1">
      <c r="B278" s="364"/>
      <c r="C278" s="364"/>
      <c r="D278" s="364"/>
      <c r="E278" s="420"/>
      <c r="F278" s="420"/>
      <c r="G278" s="421"/>
      <c r="H278" s="365"/>
      <c r="I278" s="416"/>
    </row>
    <row r="279" spans="2:9" ht="9.75" customHeight="1">
      <c r="B279" s="364"/>
      <c r="C279" s="364"/>
      <c r="D279" s="364"/>
      <c r="E279" s="420"/>
      <c r="F279" s="420"/>
      <c r="G279" s="421"/>
      <c r="H279" s="365"/>
    </row>
    <row r="280" spans="2:9" ht="9.75" customHeight="1">
      <c r="B280" s="364"/>
      <c r="C280" s="364"/>
      <c r="D280" s="364"/>
      <c r="E280" s="420"/>
      <c r="F280" s="420"/>
      <c r="G280" s="421"/>
      <c r="H280" s="365"/>
    </row>
    <row r="281" spans="2:9" ht="9.75" customHeight="1">
      <c r="B281" s="364"/>
      <c r="C281" s="364"/>
      <c r="D281" s="364"/>
      <c r="E281" s="420"/>
      <c r="F281" s="420"/>
      <c r="G281" s="421"/>
      <c r="H281" s="365"/>
    </row>
    <row r="282" spans="2:9" ht="9.75" customHeight="1">
      <c r="B282" s="364"/>
      <c r="C282" s="364"/>
      <c r="D282" s="364"/>
      <c r="E282" s="420"/>
      <c r="F282" s="420"/>
      <c r="G282" s="421"/>
      <c r="H282" s="365"/>
    </row>
    <row r="283" spans="2:9" ht="9.75" customHeight="1">
      <c r="B283" s="364"/>
      <c r="C283" s="364"/>
      <c r="D283" s="364"/>
      <c r="E283" s="420"/>
      <c r="F283" s="420"/>
      <c r="G283" s="421"/>
      <c r="H283" s="365"/>
    </row>
    <row r="284" spans="2:9" ht="9.75" customHeight="1">
      <c r="B284" s="364"/>
      <c r="C284" s="364"/>
      <c r="D284" s="364"/>
      <c r="E284" s="420"/>
      <c r="F284" s="420"/>
      <c r="G284" s="421"/>
      <c r="H284" s="365"/>
    </row>
    <row r="285" spans="2:9" ht="9.75" customHeight="1">
      <c r="B285" s="364"/>
      <c r="C285" s="364"/>
      <c r="D285" s="364"/>
      <c r="E285" s="420"/>
      <c r="F285" s="420"/>
      <c r="G285" s="421"/>
      <c r="H285" s="365"/>
    </row>
    <row r="286" spans="2:9" ht="9.75" customHeight="1">
      <c r="B286" s="364"/>
      <c r="C286" s="364"/>
      <c r="D286" s="364"/>
      <c r="E286" s="420"/>
      <c r="F286" s="420"/>
      <c r="G286" s="421"/>
      <c r="H286" s="365"/>
    </row>
    <row r="287" spans="2:9" ht="9.75" customHeight="1">
      <c r="B287" s="364"/>
      <c r="C287" s="364"/>
      <c r="D287" s="364"/>
      <c r="E287" s="420"/>
      <c r="F287" s="420"/>
      <c r="G287" s="421"/>
      <c r="H287" s="365"/>
    </row>
    <row r="288" spans="2:9" ht="9.75" customHeight="1">
      <c r="B288" s="364"/>
      <c r="C288" s="364"/>
      <c r="D288" s="364"/>
      <c r="E288" s="420"/>
      <c r="F288" s="420"/>
      <c r="G288" s="421"/>
      <c r="H288" s="365"/>
    </row>
    <row r="289" spans="5:8" s="364" customFormat="1" ht="9.75" customHeight="1">
      <c r="E289" s="420"/>
      <c r="F289" s="420"/>
      <c r="G289" s="421"/>
      <c r="H289" s="365"/>
    </row>
    <row r="290" spans="5:8" s="364" customFormat="1" ht="9.75" customHeight="1">
      <c r="E290" s="420"/>
      <c r="F290" s="420"/>
      <c r="G290" s="421"/>
      <c r="H290" s="365"/>
    </row>
    <row r="291" spans="5:8" s="364" customFormat="1" ht="9.75" customHeight="1">
      <c r="E291" s="420"/>
      <c r="F291" s="420"/>
      <c r="G291" s="421"/>
      <c r="H291" s="365"/>
    </row>
    <row r="292" spans="5:8" s="364" customFormat="1" ht="9.75" customHeight="1">
      <c r="E292" s="420"/>
      <c r="F292" s="420"/>
      <c r="G292" s="421"/>
      <c r="H292" s="365"/>
    </row>
    <row r="293" spans="5:8" s="364" customFormat="1" ht="9.75" customHeight="1">
      <c r="E293" s="424"/>
      <c r="F293" s="424"/>
      <c r="G293" s="425"/>
      <c r="H293" s="365"/>
    </row>
  </sheetData>
  <sheetProtection algorithmName="SHA-512" hashValue="gq/fgxHBALLRV/7RZreZoAnL8uqbor+DRLH2l59rM6imZ0Lntlp9gT8JJ3SOExtdlOWmLZWfSEZyo8X9tpfOUA==" saltValue="nVYCSfCn/c2mznDhLHcPqw==" spinCount="100000" sheet="1" selectLockedCells="1" selectUnlockedCells="1"/>
  <mergeCells count="6">
    <mergeCell ref="A1:G1"/>
    <mergeCell ref="L2:N2"/>
    <mergeCell ref="O2:Q2"/>
    <mergeCell ref="B3:B8"/>
    <mergeCell ref="G3:G8"/>
    <mergeCell ref="J8:M8"/>
  </mergeCells>
  <hyperlinks>
    <hyperlink ref="E19" r:id="rId1" xr:uid="{00000000-0004-0000-0B00-000000000000}"/>
  </hyperlinks>
  <pageMargins left="0.7" right="0.7" top="0.75" bottom="0.75" header="0.51180555555555551" footer="0.51180555555555551"/>
  <pageSetup paperSize="9" firstPageNumber="0"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
  <dimension ref="C2:L273"/>
  <sheetViews>
    <sheetView zoomScale="90" zoomScaleNormal="90" workbookViewId="0">
      <pane xSplit="2" ySplit="2" topLeftCell="C186" activePane="bottomRight" state="frozen"/>
      <selection pane="topRight" activeCell="C1" sqref="C1"/>
      <selection pane="bottomLeft" activeCell="A3" sqref="A3"/>
      <selection pane="bottomRight" activeCell="F204" sqref="F204"/>
    </sheetView>
  </sheetViews>
  <sheetFormatPr baseColWidth="10" defaultRowHeight="15"/>
  <cols>
    <col min="1" max="1" width="6.140625" customWidth="1"/>
    <col min="2" max="2" width="5.85546875" customWidth="1"/>
    <col min="3" max="3" width="37.5703125" customWidth="1"/>
    <col min="4" max="4" width="11.7109375" style="438" customWidth="1"/>
    <col min="5" max="5" width="18" style="438" customWidth="1"/>
    <col min="6" max="6" width="17.5703125" style="438" customWidth="1"/>
    <col min="7" max="7" width="14.7109375" customWidth="1"/>
  </cols>
  <sheetData>
    <row r="2" spans="3:12" s="431" customFormat="1" ht="55.5" customHeight="1">
      <c r="C2" s="431" t="s">
        <v>241</v>
      </c>
      <c r="D2" s="433" t="s">
        <v>3183</v>
      </c>
      <c r="E2" s="433" t="s">
        <v>3185</v>
      </c>
      <c r="F2" s="433" t="s">
        <v>3184</v>
      </c>
      <c r="G2" s="433" t="s">
        <v>3186</v>
      </c>
      <c r="H2" s="433" t="s">
        <v>113</v>
      </c>
      <c r="J2" s="431" t="s">
        <v>244</v>
      </c>
      <c r="K2" s="431" t="s">
        <v>3187</v>
      </c>
    </row>
    <row r="3" spans="3:12">
      <c r="C3" s="440" t="s">
        <v>603</v>
      </c>
      <c r="D3" s="438">
        <v>1.1294900000000001</v>
      </c>
      <c r="F3" s="438">
        <v>12463.563519801301</v>
      </c>
      <c r="G3" s="439">
        <f t="shared" ref="G3:G66" si="0">D3*E3/F3</f>
        <v>0</v>
      </c>
      <c r="H3" t="str">
        <f>VLOOKUP(C3,'11.Region'!$B$22:$E$243,4,FALSE)</f>
        <v>Africa</v>
      </c>
      <c r="I3" s="430">
        <f>$K$3</f>
        <v>3.0325616327831186</v>
      </c>
      <c r="J3" t="s">
        <v>244</v>
      </c>
      <c r="K3" s="429">
        <f>AVERAGE(G5:G51)</f>
        <v>3.0325616327831186</v>
      </c>
      <c r="L3" s="427" t="s">
        <v>251</v>
      </c>
    </row>
    <row r="4" spans="3:12">
      <c r="C4" s="440" t="s">
        <v>679</v>
      </c>
      <c r="D4" s="438">
        <v>1.1294900000000001</v>
      </c>
      <c r="F4" s="438">
        <v>0.51762968529525999</v>
      </c>
      <c r="G4" s="439">
        <f t="shared" si="0"/>
        <v>0</v>
      </c>
      <c r="H4" t="str">
        <f>VLOOKUP(C4,'11.Region'!$B$22:$E$243,4,FALSE)</f>
        <v>Africa</v>
      </c>
      <c r="I4" s="430">
        <f>$K$3</f>
        <v>3.0325616327831186</v>
      </c>
      <c r="J4" t="s">
        <v>244</v>
      </c>
    </row>
    <row r="5" spans="3:12">
      <c r="C5" s="440" t="s">
        <v>250</v>
      </c>
      <c r="D5" s="438">
        <v>1.1294900000000001</v>
      </c>
      <c r="E5" s="438">
        <v>165.09041999999999</v>
      </c>
      <c r="F5" s="438">
        <v>108.299425238122</v>
      </c>
      <c r="G5" s="439">
        <f t="shared" si="0"/>
        <v>1.7217817922468739</v>
      </c>
      <c r="H5" t="str">
        <f>VLOOKUP(C5,'11.Region'!$B$22:$E$243,4,FALSE)</f>
        <v>Africa</v>
      </c>
      <c r="I5" s="430">
        <f>G5</f>
        <v>1.7217817922468739</v>
      </c>
    </row>
    <row r="6" spans="3:12">
      <c r="C6" s="440" t="s">
        <v>583</v>
      </c>
      <c r="D6" s="438">
        <v>1.1294900000000001</v>
      </c>
      <c r="E6" s="438">
        <v>6.6066799999999999</v>
      </c>
      <c r="F6" s="438">
        <v>4.1377654584988903</v>
      </c>
      <c r="G6" s="439">
        <f t="shared" si="0"/>
        <v>1.8034320862418214</v>
      </c>
      <c r="H6" t="str">
        <f>VLOOKUP(C6,'11.Region'!$B$22:$E$243,4,FALSE)</f>
        <v>Africa</v>
      </c>
      <c r="I6" s="430">
        <f t="shared" ref="I6:I51" si="1">G6</f>
        <v>1.8034320862418214</v>
      </c>
    </row>
    <row r="7" spans="3:12">
      <c r="C7" s="440" t="s">
        <v>311</v>
      </c>
      <c r="D7" s="438">
        <v>1.1294900000000001</v>
      </c>
      <c r="E7" s="438">
        <v>581.90317000000005</v>
      </c>
      <c r="F7" s="438">
        <v>335.50036162285897</v>
      </c>
      <c r="G7" s="439">
        <f t="shared" si="0"/>
        <v>1.959025642488365</v>
      </c>
      <c r="H7" t="str">
        <f>VLOOKUP(C7,'11.Region'!$B$22:$E$243,4,FALSE)</f>
        <v>Africa</v>
      </c>
      <c r="I7" s="430">
        <f t="shared" si="1"/>
        <v>1.959025642488365</v>
      </c>
    </row>
    <row r="8" spans="3:12">
      <c r="C8" s="440" t="s">
        <v>617</v>
      </c>
      <c r="D8" s="438">
        <v>1.1294900000000001</v>
      </c>
      <c r="E8" s="438">
        <v>12.72334</v>
      </c>
      <c r="F8" s="438">
        <v>7.3058650570550903</v>
      </c>
      <c r="G8" s="439">
        <f t="shared" si="0"/>
        <v>1.9670340451638095</v>
      </c>
      <c r="H8" t="str">
        <f>VLOOKUP(C8,'11.Region'!$B$22:$E$243,4,FALSE)</f>
        <v>Africa</v>
      </c>
      <c r="I8" s="430">
        <f t="shared" si="1"/>
        <v>1.9670340451638095</v>
      </c>
    </row>
    <row r="9" spans="3:12">
      <c r="C9" s="440" t="s">
        <v>325</v>
      </c>
      <c r="D9" s="438">
        <v>1.1294900000000001</v>
      </c>
      <c r="E9" s="438">
        <v>1440.44336</v>
      </c>
      <c r="F9" s="438">
        <v>763.855751739276</v>
      </c>
      <c r="G9" s="439">
        <f t="shared" si="0"/>
        <v>2.1299392810512296</v>
      </c>
      <c r="H9" t="str">
        <f>VLOOKUP(C9,'11.Region'!$B$22:$E$243,4,FALSE)</f>
        <v>Africa</v>
      </c>
      <c r="I9" s="430">
        <f t="shared" si="1"/>
        <v>2.1299392810512296</v>
      </c>
    </row>
    <row r="10" spans="3:12">
      <c r="C10" s="440" t="s">
        <v>331</v>
      </c>
      <c r="D10" s="438">
        <v>1.1294900000000001</v>
      </c>
      <c r="E10" s="438">
        <v>436.44655</v>
      </c>
      <c r="F10" s="438">
        <v>224.23769243185501</v>
      </c>
      <c r="G10" s="439">
        <f t="shared" si="0"/>
        <v>2.1983905043497955</v>
      </c>
      <c r="H10" t="str">
        <f>VLOOKUP(C10,'11.Region'!$B$22:$E$243,4,FALSE)</f>
        <v>Africa</v>
      </c>
      <c r="I10" s="430">
        <f t="shared" si="1"/>
        <v>2.1983905043497955</v>
      </c>
    </row>
    <row r="11" spans="3:12">
      <c r="C11" s="440" t="s">
        <v>525</v>
      </c>
      <c r="D11" s="438">
        <v>1.1294900000000001</v>
      </c>
      <c r="E11" s="438">
        <v>13.299200000000001</v>
      </c>
      <c r="F11" s="438">
        <v>6.6430047961537504</v>
      </c>
      <c r="G11" s="439">
        <f t="shared" si="0"/>
        <v>2.2612227250983215</v>
      </c>
      <c r="H11" t="str">
        <f>VLOOKUP(C11,'11.Region'!$B$22:$E$243,4,FALSE)</f>
        <v>Africa</v>
      </c>
      <c r="I11" s="430">
        <f t="shared" si="1"/>
        <v>2.2612227250983215</v>
      </c>
    </row>
    <row r="12" spans="3:12">
      <c r="C12" s="440" t="s">
        <v>519</v>
      </c>
      <c r="D12" s="438">
        <v>1.1294900000000001</v>
      </c>
      <c r="E12" s="438">
        <v>33.257289999999998</v>
      </c>
      <c r="F12" s="438">
        <v>16.324395254109199</v>
      </c>
      <c r="G12" s="439">
        <f t="shared" si="0"/>
        <v>2.3010822696567823</v>
      </c>
      <c r="H12" t="str">
        <f>VLOOKUP(C12,'11.Region'!$B$22:$E$243,4,FALSE)</f>
        <v>Africa</v>
      </c>
      <c r="I12" s="430">
        <f t="shared" si="1"/>
        <v>2.3010822696567823</v>
      </c>
    </row>
    <row r="13" spans="3:12">
      <c r="C13" s="440" t="s">
        <v>333</v>
      </c>
      <c r="D13" s="438">
        <v>1.1294900000000001</v>
      </c>
      <c r="E13" s="438">
        <v>97.816749999999999</v>
      </c>
      <c r="F13" s="438">
        <v>45.992605173420998</v>
      </c>
      <c r="G13" s="439">
        <f t="shared" si="0"/>
        <v>2.4021914075297448</v>
      </c>
      <c r="H13" t="str">
        <f>VLOOKUP(C13,'11.Region'!$B$22:$E$243,4,FALSE)</f>
        <v>Africa</v>
      </c>
      <c r="I13" s="430">
        <f t="shared" si="1"/>
        <v>2.4021914075297448</v>
      </c>
    </row>
    <row r="14" spans="3:12">
      <c r="C14" s="440" t="s">
        <v>447</v>
      </c>
      <c r="D14" s="438">
        <v>1.1294900000000001</v>
      </c>
      <c r="E14" s="438">
        <v>101.76897</v>
      </c>
      <c r="F14" s="438">
        <v>47.452447784598498</v>
      </c>
      <c r="G14" s="439">
        <f t="shared" si="0"/>
        <v>2.4223625817382604</v>
      </c>
      <c r="H14" t="str">
        <f>VLOOKUP(C14,'11.Region'!$B$22:$E$243,4,FALSE)</f>
        <v>Africa</v>
      </c>
      <c r="I14" s="430">
        <f t="shared" si="1"/>
        <v>2.4223625817382604</v>
      </c>
    </row>
    <row r="15" spans="3:12">
      <c r="C15" s="440" t="s">
        <v>675</v>
      </c>
      <c r="D15" s="438">
        <v>1.1294900000000001</v>
      </c>
      <c r="E15" s="438">
        <v>13.299200000000001</v>
      </c>
      <c r="F15" s="438">
        <v>6.0762570281131003</v>
      </c>
      <c r="G15" s="439">
        <f t="shared" si="0"/>
        <v>2.4721326531285115</v>
      </c>
      <c r="H15" t="str">
        <f>VLOOKUP(C15,'11.Region'!$B$22:$E$243,4,FALSE)</f>
        <v>Africa</v>
      </c>
      <c r="I15" s="430">
        <f t="shared" si="1"/>
        <v>2.4721326531285115</v>
      </c>
    </row>
    <row r="16" spans="3:12">
      <c r="C16" s="440" t="s">
        <v>309</v>
      </c>
      <c r="D16" s="438">
        <v>1.1294900000000001</v>
      </c>
      <c r="E16" s="438">
        <v>10.22584</v>
      </c>
      <c r="F16" s="438">
        <v>4.5288649655425299</v>
      </c>
      <c r="G16" s="439">
        <f t="shared" si="0"/>
        <v>2.5503043498706708</v>
      </c>
      <c r="H16" t="str">
        <f>VLOOKUP(C16,'11.Region'!$B$22:$E$243,4,FALSE)</f>
        <v>Africa</v>
      </c>
      <c r="I16" s="430">
        <f t="shared" si="1"/>
        <v>2.5503043498706708</v>
      </c>
    </row>
    <row r="17" spans="3:9">
      <c r="C17" s="440" t="s">
        <v>395</v>
      </c>
      <c r="D17" s="438">
        <v>1.1294900000000001</v>
      </c>
      <c r="E17" s="438">
        <v>581.57419000000004</v>
      </c>
      <c r="F17" s="438">
        <v>247.754889036848</v>
      </c>
      <c r="G17" s="439">
        <f t="shared" si="0"/>
        <v>2.6513391296403581</v>
      </c>
      <c r="H17" t="str">
        <f>VLOOKUP(C17,'11.Region'!$B$22:$E$243,4,FALSE)</f>
        <v>Africa</v>
      </c>
      <c r="I17" s="430">
        <f t="shared" si="1"/>
        <v>2.6513391296403581</v>
      </c>
    </row>
    <row r="18" spans="3:9">
      <c r="C18" s="440" t="s">
        <v>275</v>
      </c>
      <c r="D18" s="438">
        <v>1.1294900000000001</v>
      </c>
      <c r="E18" s="438">
        <v>1699.34338</v>
      </c>
      <c r="F18" s="438">
        <v>717.88571949917002</v>
      </c>
      <c r="G18" s="439">
        <f t="shared" si="0"/>
        <v>2.6736725667356298</v>
      </c>
      <c r="H18" t="str">
        <f>VLOOKUP(C18,'11.Region'!$B$22:$E$243,4,FALSE)</f>
        <v>Africa</v>
      </c>
      <c r="I18" s="430">
        <f t="shared" si="1"/>
        <v>2.6736725667356298</v>
      </c>
    </row>
    <row r="19" spans="3:9">
      <c r="C19" s="440" t="s">
        <v>321</v>
      </c>
      <c r="D19" s="438">
        <v>1.1294900000000001</v>
      </c>
      <c r="E19" s="438">
        <v>581.57419000000004</v>
      </c>
      <c r="F19" s="438">
        <v>244.77749630749099</v>
      </c>
      <c r="G19" s="439">
        <f t="shared" si="0"/>
        <v>2.6835891443138244</v>
      </c>
      <c r="H19" t="str">
        <f>VLOOKUP(C19,'11.Region'!$B$22:$E$243,4,FALSE)</f>
        <v>Africa</v>
      </c>
      <c r="I19" s="430">
        <f t="shared" si="1"/>
        <v>2.6835891443138244</v>
      </c>
    </row>
    <row r="20" spans="3:9">
      <c r="C20" s="440" t="s">
        <v>467</v>
      </c>
      <c r="D20" s="438">
        <v>1.1294900000000001</v>
      </c>
      <c r="E20" s="438">
        <v>1.3707</v>
      </c>
      <c r="F20" s="438">
        <v>0.56442871547032702</v>
      </c>
      <c r="G20" s="439">
        <f t="shared" si="0"/>
        <v>2.7429361769978748</v>
      </c>
      <c r="H20" t="str">
        <f>VLOOKUP(C20,'11.Region'!$B$22:$E$243,4,FALSE)</f>
        <v>Africa</v>
      </c>
      <c r="I20" s="430">
        <f t="shared" si="1"/>
        <v>2.7429361769978748</v>
      </c>
    </row>
    <row r="21" spans="3:9">
      <c r="C21" s="440" t="s">
        <v>381</v>
      </c>
      <c r="D21" s="438">
        <v>1.1294900000000001</v>
      </c>
      <c r="E21" s="438">
        <v>581.90317000000005</v>
      </c>
      <c r="F21" s="438">
        <v>231.155170200789</v>
      </c>
      <c r="G21" s="439">
        <f t="shared" si="0"/>
        <v>2.843344628252908</v>
      </c>
      <c r="H21" t="str">
        <f>VLOOKUP(C21,'11.Region'!$B$22:$E$243,4,FALSE)</f>
        <v>Africa</v>
      </c>
      <c r="I21" s="430">
        <f t="shared" si="1"/>
        <v>2.843344628252908</v>
      </c>
    </row>
    <row r="22" spans="3:9">
      <c r="C22" s="440" t="s">
        <v>397</v>
      </c>
      <c r="D22" s="438">
        <v>1.1294900000000001</v>
      </c>
      <c r="E22" s="438">
        <v>581.90317000000005</v>
      </c>
      <c r="F22" s="438">
        <v>231.03801762813501</v>
      </c>
      <c r="G22" s="439">
        <f t="shared" si="0"/>
        <v>2.8447864045525897</v>
      </c>
      <c r="H22" t="str">
        <f>VLOOKUP(C22,'11.Region'!$B$22:$E$243,4,FALSE)</f>
        <v>Africa</v>
      </c>
      <c r="I22" s="430">
        <f t="shared" si="1"/>
        <v>2.8447864045525897</v>
      </c>
    </row>
    <row r="23" spans="3:9">
      <c r="C23" s="440" t="s">
        <v>625</v>
      </c>
      <c r="D23" s="438">
        <v>1.1294900000000001</v>
      </c>
      <c r="E23" s="438">
        <v>581.57419000000004</v>
      </c>
      <c r="F23" s="438">
        <v>228.864685269555</v>
      </c>
      <c r="G23" s="439">
        <f t="shared" si="0"/>
        <v>2.8701773324680016</v>
      </c>
      <c r="H23" t="str">
        <f>VLOOKUP(C23,'11.Region'!$B$22:$E$243,4,FALSE)</f>
        <v>Africa</v>
      </c>
      <c r="I23" s="430">
        <f t="shared" si="1"/>
        <v>2.8701773324680016</v>
      </c>
    </row>
    <row r="24" spans="3:9">
      <c r="C24" s="440" t="s">
        <v>323</v>
      </c>
      <c r="D24" s="438">
        <v>1.1294900000000001</v>
      </c>
      <c r="E24" s="438">
        <v>581.90317000000005</v>
      </c>
      <c r="F24" s="438">
        <v>227.95678457902599</v>
      </c>
      <c r="G24" s="439">
        <f t="shared" si="0"/>
        <v>2.8832386484879957</v>
      </c>
      <c r="H24" t="str">
        <f>VLOOKUP(C24,'11.Region'!$B$22:$E$243,4,FALSE)</f>
        <v>Africa</v>
      </c>
      <c r="I24" s="430">
        <f t="shared" si="1"/>
        <v>2.8832386484879957</v>
      </c>
    </row>
    <row r="25" spans="3:9">
      <c r="C25" s="440" t="s">
        <v>369</v>
      </c>
      <c r="D25" s="438">
        <v>1.1294900000000001</v>
      </c>
      <c r="E25" s="438">
        <v>23.72109</v>
      </c>
      <c r="F25" s="438">
        <v>9.0633695215015706</v>
      </c>
      <c r="G25" s="439">
        <f t="shared" si="0"/>
        <v>2.9561559727359685</v>
      </c>
      <c r="H25" t="str">
        <f>VLOOKUP(C25,'11.Region'!$B$22:$E$243,4,FALSE)</f>
        <v>Africa</v>
      </c>
      <c r="I25" s="430">
        <f t="shared" si="1"/>
        <v>2.9561559727359685</v>
      </c>
    </row>
    <row r="26" spans="3:9">
      <c r="C26" s="440" t="s">
        <v>585</v>
      </c>
      <c r="D26" s="438">
        <v>1.1294900000000001</v>
      </c>
      <c r="E26" s="438">
        <v>581.57419000000004</v>
      </c>
      <c r="F26" s="438">
        <v>221.70707863836901</v>
      </c>
      <c r="G26" s="439">
        <f t="shared" si="0"/>
        <v>2.9628383355975485</v>
      </c>
      <c r="H26" t="str">
        <f>VLOOKUP(C26,'11.Region'!$B$22:$E$243,4,FALSE)</f>
        <v>Africa</v>
      </c>
      <c r="I26" s="430">
        <f t="shared" si="1"/>
        <v>2.9628383355975485</v>
      </c>
    </row>
    <row r="27" spans="3:9">
      <c r="C27" s="440" t="s">
        <v>613</v>
      </c>
      <c r="D27" s="438">
        <v>1.1294900000000001</v>
      </c>
      <c r="E27" s="438">
        <v>13.299200000000001</v>
      </c>
      <c r="F27" s="438">
        <v>5.0602621118104203</v>
      </c>
      <c r="G27" s="439">
        <f t="shared" si="0"/>
        <v>2.9684852436677032</v>
      </c>
      <c r="H27" t="str">
        <f>VLOOKUP(C27,'11.Region'!$B$22:$E$243,4,FALSE)</f>
        <v>Africa</v>
      </c>
      <c r="I27" s="430">
        <f t="shared" si="1"/>
        <v>2.9684852436677032</v>
      </c>
    </row>
    <row r="28" spans="3:9">
      <c r="C28" s="440" t="s">
        <v>475</v>
      </c>
      <c r="D28" s="438">
        <v>1.1294900000000001</v>
      </c>
      <c r="E28" s="438">
        <v>13.299200000000001</v>
      </c>
      <c r="F28" s="438">
        <v>5.0342674072109403</v>
      </c>
      <c r="G28" s="439">
        <f t="shared" si="0"/>
        <v>2.9838131733892213</v>
      </c>
      <c r="H28" t="str">
        <f>VLOOKUP(C28,'11.Region'!$B$22:$E$243,4,FALSE)</f>
        <v>Africa</v>
      </c>
      <c r="I28" s="430">
        <f t="shared" si="1"/>
        <v>2.9838131733892213</v>
      </c>
    </row>
    <row r="29" spans="3:9">
      <c r="C29" s="440" t="s">
        <v>391</v>
      </c>
      <c r="D29" s="438">
        <v>1.1294900000000001</v>
      </c>
      <c r="E29" s="438">
        <v>9041.4848099999999</v>
      </c>
      <c r="F29" s="438">
        <v>3386.1175606756501</v>
      </c>
      <c r="G29" s="439">
        <f t="shared" si="0"/>
        <v>3.0159220685796839</v>
      </c>
      <c r="H29" t="str">
        <f>VLOOKUP(C29,'11.Region'!$B$22:$E$243,4,FALSE)</f>
        <v>Africa</v>
      </c>
      <c r="I29" s="430">
        <f t="shared" si="1"/>
        <v>3.0159220685796839</v>
      </c>
    </row>
    <row r="30" spans="3:9">
      <c r="C30" s="440" t="s">
        <v>677</v>
      </c>
      <c r="D30" s="438">
        <v>1.1294900000000001</v>
      </c>
      <c r="E30" s="438">
        <v>9.4935399999999994</v>
      </c>
      <c r="F30" s="438">
        <v>3.5485394978903</v>
      </c>
      <c r="G30" s="439">
        <f t="shared" si="0"/>
        <v>3.0217667017585748</v>
      </c>
      <c r="H30" t="str">
        <f>VLOOKUP(C30,'11.Region'!$B$22:$E$243,4,FALSE)</f>
        <v>Africa</v>
      </c>
      <c r="I30" s="430">
        <f t="shared" si="1"/>
        <v>3.0217667017585748</v>
      </c>
    </row>
    <row r="31" spans="3:9">
      <c r="C31" s="440" t="s">
        <v>503</v>
      </c>
      <c r="D31" s="438">
        <v>1.1294900000000001</v>
      </c>
      <c r="E31" s="438">
        <v>581.57419000000004</v>
      </c>
      <c r="F31" s="438">
        <v>217.03135676952999</v>
      </c>
      <c r="G31" s="439">
        <f t="shared" si="0"/>
        <v>3.0266697017457096</v>
      </c>
      <c r="H31" t="str">
        <f>VLOOKUP(C31,'11.Region'!$B$22:$E$243,4,FALSE)</f>
        <v>Africa</v>
      </c>
      <c r="I31" s="430">
        <f t="shared" si="1"/>
        <v>3.0266697017457096</v>
      </c>
    </row>
    <row r="32" spans="3:9">
      <c r="C32" s="440" t="s">
        <v>529</v>
      </c>
      <c r="D32" s="438">
        <v>1.1294900000000001</v>
      </c>
      <c r="E32" s="438">
        <v>581.57419000000004</v>
      </c>
      <c r="F32" s="438">
        <v>216.47048493677701</v>
      </c>
      <c r="G32" s="439">
        <f t="shared" si="0"/>
        <v>3.0345117582886689</v>
      </c>
      <c r="H32" t="str">
        <f>VLOOKUP(C32,'11.Region'!$B$22:$E$243,4,FALSE)</f>
        <v>Africa</v>
      </c>
      <c r="I32" s="430">
        <f t="shared" si="1"/>
        <v>3.0345117582886689</v>
      </c>
    </row>
    <row r="33" spans="3:9">
      <c r="C33" s="440" t="s">
        <v>579</v>
      </c>
      <c r="D33" s="438">
        <v>1.1294900000000001</v>
      </c>
      <c r="E33" s="438">
        <v>823.42092000000002</v>
      </c>
      <c r="F33" s="438">
        <v>305.70607812662502</v>
      </c>
      <c r="G33" s="439">
        <f t="shared" si="0"/>
        <v>3.0422872212098131</v>
      </c>
      <c r="H33" t="str">
        <f>VLOOKUP(C33,'11.Region'!$B$22:$E$243,4,FALSE)</f>
        <v>Africa</v>
      </c>
      <c r="I33" s="430">
        <f t="shared" si="1"/>
        <v>3.0422872212098131</v>
      </c>
    </row>
    <row r="34" spans="3:9">
      <c r="C34" s="440" t="s">
        <v>487</v>
      </c>
      <c r="D34" s="438">
        <v>1.1294900000000001</v>
      </c>
      <c r="E34" s="438">
        <v>9.5799199999999995</v>
      </c>
      <c r="F34" s="438">
        <v>3.54686354775819</v>
      </c>
      <c r="G34" s="439">
        <f t="shared" si="0"/>
        <v>3.0507020343760036</v>
      </c>
      <c r="H34" t="str">
        <f>VLOOKUP(C34,'11.Region'!$B$22:$E$243,4,FALSE)</f>
        <v>Africa</v>
      </c>
      <c r="I34" s="430">
        <f t="shared" si="1"/>
        <v>3.0507020343760036</v>
      </c>
    </row>
    <row r="35" spans="3:9">
      <c r="C35" s="440" t="s">
        <v>279</v>
      </c>
      <c r="D35" s="438">
        <v>1.1294900000000001</v>
      </c>
      <c r="E35" s="438">
        <v>581.57419000000004</v>
      </c>
      <c r="F35" s="438">
        <v>212.70077197001399</v>
      </c>
      <c r="G35" s="439">
        <f t="shared" si="0"/>
        <v>3.0882926553539054</v>
      </c>
      <c r="H35" t="str">
        <f>VLOOKUP(C35,'11.Region'!$B$22:$E$243,4,FALSE)</f>
        <v>Africa</v>
      </c>
      <c r="I35" s="430">
        <f t="shared" si="1"/>
        <v>3.0882926553539054</v>
      </c>
    </row>
    <row r="36" spans="3:9">
      <c r="C36" s="440" t="s">
        <v>281</v>
      </c>
      <c r="D36" s="438">
        <v>1.1294900000000001</v>
      </c>
      <c r="E36" s="438">
        <v>581.57419000000004</v>
      </c>
      <c r="F36" s="438">
        <v>208.924006880881</v>
      </c>
      <c r="G36" s="439">
        <f t="shared" si="0"/>
        <v>3.1441203989430693</v>
      </c>
      <c r="H36" t="str">
        <f>VLOOKUP(C36,'11.Region'!$B$22:$E$243,4,FALSE)</f>
        <v>Africa</v>
      </c>
      <c r="I36" s="430">
        <f t="shared" si="1"/>
        <v>3.1441203989430693</v>
      </c>
    </row>
    <row r="37" spans="3:9">
      <c r="C37" s="440" t="s">
        <v>387</v>
      </c>
      <c r="D37" s="438">
        <v>1.1294900000000001</v>
      </c>
      <c r="E37" s="432">
        <v>4.379563096</v>
      </c>
      <c r="F37" s="432">
        <v>1.5386671271163801</v>
      </c>
      <c r="G37" s="439">
        <f t="shared" si="0"/>
        <v>3.2149076522948876</v>
      </c>
      <c r="H37" t="str">
        <f>VLOOKUP(C37,'11.Region'!$B$22:$E$243,4,FALSE)</f>
        <v>Africa</v>
      </c>
      <c r="I37" s="430">
        <f t="shared" si="1"/>
        <v>3.2149076522948876</v>
      </c>
    </row>
    <row r="38" spans="3:9">
      <c r="C38" s="440" t="s">
        <v>623</v>
      </c>
      <c r="D38" s="438">
        <v>1.1294900000000001</v>
      </c>
      <c r="E38" s="438">
        <v>581.90317000000005</v>
      </c>
      <c r="F38" s="438">
        <v>200.876869467229</v>
      </c>
      <c r="G38" s="439">
        <f t="shared" si="0"/>
        <v>3.2719238069892578</v>
      </c>
      <c r="H38" t="str">
        <f>VLOOKUP(C38,'11.Region'!$B$22:$E$243,4,FALSE)</f>
        <v>Africa</v>
      </c>
      <c r="I38" s="430">
        <f t="shared" si="1"/>
        <v>3.2719238069892578</v>
      </c>
    </row>
    <row r="39" spans="3:9">
      <c r="C39" s="440" t="s">
        <v>515</v>
      </c>
      <c r="D39" s="438">
        <v>1.1294900000000001</v>
      </c>
      <c r="E39" s="438">
        <v>63.952289999999998</v>
      </c>
      <c r="F39" s="438">
        <v>21.2034188057773</v>
      </c>
      <c r="G39" s="439">
        <f t="shared" si="0"/>
        <v>3.4066898689195604</v>
      </c>
      <c r="H39" t="str">
        <f>VLOOKUP(C39,'11.Region'!$B$22:$E$243,4,FALSE)</f>
        <v>Africa</v>
      </c>
      <c r="I39" s="430">
        <f t="shared" si="1"/>
        <v>3.4066898689195604</v>
      </c>
    </row>
    <row r="40" spans="3:9">
      <c r="C40" s="440" t="s">
        <v>645</v>
      </c>
      <c r="D40" s="438">
        <v>1.1294900000000001</v>
      </c>
      <c r="E40" s="438">
        <v>2203.9814999999999</v>
      </c>
      <c r="F40" s="438">
        <v>708.42987542494097</v>
      </c>
      <c r="G40" s="439">
        <f t="shared" si="0"/>
        <v>3.5139329251773668</v>
      </c>
      <c r="H40" t="str">
        <f>VLOOKUP(C40,'11.Region'!$B$22:$E$243,4,FALSE)</f>
        <v>Africa</v>
      </c>
      <c r="I40" s="430">
        <f t="shared" si="1"/>
        <v>3.5139329251773668</v>
      </c>
    </row>
    <row r="41" spans="3:9">
      <c r="C41" s="440" t="s">
        <v>591</v>
      </c>
      <c r="D41" s="438">
        <v>1.1294900000000001</v>
      </c>
      <c r="E41" s="438">
        <v>7455.1746800000001</v>
      </c>
      <c r="F41" s="438">
        <v>2393.50987734811</v>
      </c>
      <c r="G41" s="439">
        <f t="shared" si="0"/>
        <v>3.5180741592103839</v>
      </c>
      <c r="H41" t="str">
        <f>VLOOKUP(C41,'11.Region'!$B$22:$E$243,4,FALSE)</f>
        <v>Africa</v>
      </c>
      <c r="I41" s="430">
        <f t="shared" si="1"/>
        <v>3.5180741592103839</v>
      </c>
    </row>
    <row r="42" spans="3:9">
      <c r="C42" s="440" t="s">
        <v>647</v>
      </c>
      <c r="D42" s="438">
        <v>1.1294900000000001</v>
      </c>
      <c r="E42" s="438">
        <v>3572.01577</v>
      </c>
      <c r="F42" s="438">
        <v>1143.4724145033399</v>
      </c>
      <c r="G42" s="439">
        <f t="shared" si="0"/>
        <v>3.5283370555202107</v>
      </c>
      <c r="H42" t="str">
        <f>VLOOKUP(C42,'11.Region'!$B$22:$E$243,4,FALSE)</f>
        <v>Africa</v>
      </c>
      <c r="I42" s="430">
        <f t="shared" si="1"/>
        <v>3.5283370555202107</v>
      </c>
    </row>
    <row r="43" spans="3:9">
      <c r="C43" s="440" t="s">
        <v>531</v>
      </c>
      <c r="D43" s="438">
        <v>1.1294900000000001</v>
      </c>
      <c r="E43" s="438">
        <v>331.66748999999999</v>
      </c>
      <c r="F43" s="438">
        <v>102.709364222796</v>
      </c>
      <c r="G43" s="439">
        <f t="shared" si="0"/>
        <v>3.6473316344115339</v>
      </c>
      <c r="H43" t="str">
        <f>VLOOKUP(C43,'11.Region'!$B$22:$E$243,4,FALSE)</f>
        <v>Africa</v>
      </c>
      <c r="I43" s="430">
        <f t="shared" si="1"/>
        <v>3.6473316344115339</v>
      </c>
    </row>
    <row r="44" spans="3:9">
      <c r="C44" s="440" t="s">
        <v>327</v>
      </c>
      <c r="D44" s="438">
        <v>1.1294900000000001</v>
      </c>
      <c r="E44" s="438">
        <v>581.90317000000005</v>
      </c>
      <c r="F44" s="438">
        <v>180.09420662785899</v>
      </c>
      <c r="G44" s="439">
        <f t="shared" si="0"/>
        <v>3.6495000244034985</v>
      </c>
      <c r="H44" t="str">
        <f>VLOOKUP(C44,'11.Region'!$B$22:$E$243,4,FALSE)</f>
        <v>Africa</v>
      </c>
      <c r="I44" s="430">
        <f t="shared" si="1"/>
        <v>3.6495000244034985</v>
      </c>
    </row>
    <row r="45" spans="3:9">
      <c r="C45" s="440" t="s">
        <v>639</v>
      </c>
      <c r="D45" s="438">
        <v>1.1294900000000001</v>
      </c>
      <c r="E45" s="438">
        <v>2.3937200000000001</v>
      </c>
      <c r="F45" s="438">
        <v>0.709070923019958</v>
      </c>
      <c r="G45" s="439">
        <f t="shared" si="0"/>
        <v>3.8129934750178731</v>
      </c>
      <c r="H45" t="str">
        <f>VLOOKUP(C45,'11.Region'!$B$22:$E$243,4,FALSE)</f>
        <v>Africa</v>
      </c>
      <c r="I45" s="430">
        <f t="shared" si="1"/>
        <v>3.8129934750178731</v>
      </c>
    </row>
    <row r="46" spans="3:9">
      <c r="C46" s="440" t="s">
        <v>493</v>
      </c>
      <c r="D46" s="438">
        <v>1.1294900000000001</v>
      </c>
      <c r="E46" s="438">
        <v>3082.79126</v>
      </c>
      <c r="F46" s="438">
        <v>901.18587759625495</v>
      </c>
      <c r="G46" s="439">
        <f t="shared" si="0"/>
        <v>3.8637777031581284</v>
      </c>
      <c r="H46" t="str">
        <f>VLOOKUP(C46,'11.Region'!$B$22:$E$243,4,FALSE)</f>
        <v>Africa</v>
      </c>
      <c r="I46" s="430">
        <f t="shared" si="1"/>
        <v>3.8637777031581284</v>
      </c>
    </row>
    <row r="47" spans="3:9">
      <c r="C47" s="440" t="s">
        <v>393</v>
      </c>
      <c r="D47" s="438">
        <v>1.1294900000000001</v>
      </c>
      <c r="E47" s="438">
        <v>44.954569999999997</v>
      </c>
      <c r="F47" s="438">
        <v>13.129927059964301</v>
      </c>
      <c r="G47" s="439">
        <f t="shared" si="0"/>
        <v>3.8671758828063174</v>
      </c>
      <c r="H47" t="str">
        <f>VLOOKUP(C47,'11.Region'!$B$22:$E$243,4,FALSE)</f>
        <v>Africa</v>
      </c>
      <c r="I47" s="430">
        <f t="shared" si="1"/>
        <v>3.8671758828063174</v>
      </c>
    </row>
    <row r="48" spans="3:9">
      <c r="C48" s="440" t="s">
        <v>517</v>
      </c>
      <c r="D48" s="438">
        <v>1.1294900000000001</v>
      </c>
      <c r="E48" s="438">
        <v>354.70191</v>
      </c>
      <c r="F48" s="438">
        <v>102.914772361353</v>
      </c>
      <c r="G48" s="439">
        <f t="shared" si="0"/>
        <v>3.8928547489684506</v>
      </c>
      <c r="H48" t="str">
        <f>VLOOKUP(C48,'11.Region'!$B$22:$E$243,4,FALSE)</f>
        <v>Africa</v>
      </c>
      <c r="I48" s="430">
        <f t="shared" si="1"/>
        <v>3.8928547489684506</v>
      </c>
    </row>
    <row r="49" spans="3:12">
      <c r="C49" s="440" t="s">
        <v>521</v>
      </c>
      <c r="D49" s="438">
        <v>1.1294900000000001</v>
      </c>
      <c r="E49" s="438">
        <v>718.93710999999996</v>
      </c>
      <c r="F49" s="438">
        <v>205.61176356902601</v>
      </c>
      <c r="G49" s="439">
        <f t="shared" si="0"/>
        <v>3.9493473635874552</v>
      </c>
      <c r="H49" t="str">
        <f>VLOOKUP(C49,'11.Region'!$B$22:$E$243,4,FALSE)</f>
        <v>Africa</v>
      </c>
      <c r="I49" s="430">
        <f t="shared" si="1"/>
        <v>3.9493473635874552</v>
      </c>
    </row>
    <row r="50" spans="3:12">
      <c r="C50" s="440" t="s">
        <v>357</v>
      </c>
      <c r="D50" s="438">
        <v>1.1294900000000001</v>
      </c>
      <c r="E50" s="438">
        <v>110.44233</v>
      </c>
      <c r="F50" s="438">
        <v>29.955727756633902</v>
      </c>
      <c r="G50" s="439">
        <f t="shared" si="0"/>
        <v>4.1642622848338151</v>
      </c>
      <c r="H50" t="str">
        <f>VLOOKUP(C50,'11.Region'!$B$22:$E$243,4,FALSE)</f>
        <v>Africa</v>
      </c>
      <c r="I50" s="430">
        <f t="shared" si="1"/>
        <v>4.1642622848338151</v>
      </c>
    </row>
    <row r="51" spans="3:12">
      <c r="C51" s="440" t="s">
        <v>361</v>
      </c>
      <c r="D51" s="438">
        <v>1.1294900000000001</v>
      </c>
      <c r="E51" s="438">
        <v>17.813800000000001</v>
      </c>
      <c r="F51" s="438">
        <v>3.0710178420623602</v>
      </c>
      <c r="G51" s="439">
        <f t="shared" si="0"/>
        <v>6.5517395198485584</v>
      </c>
      <c r="H51" t="str">
        <f>VLOOKUP(C51,'11.Region'!$B$22:$E$243,4,FALSE)</f>
        <v>Africa</v>
      </c>
      <c r="I51" s="430">
        <f t="shared" si="1"/>
        <v>6.5517395198485584</v>
      </c>
    </row>
    <row r="52" spans="3:12">
      <c r="C52" s="440" t="s">
        <v>465</v>
      </c>
      <c r="D52" s="438">
        <v>1.1294900000000001</v>
      </c>
      <c r="E52" s="434">
        <v>102.73307</v>
      </c>
      <c r="F52" s="434">
        <v>0.55182054197377495</v>
      </c>
      <c r="G52" s="439">
        <f t="shared" si="0"/>
        <v>210.27846266697077</v>
      </c>
      <c r="H52" t="str">
        <f>VLOOKUP(C52,'11.Region'!$B$22:$E$243,4,FALSE)</f>
        <v>Africa</v>
      </c>
      <c r="I52" s="430">
        <f>$K$3</f>
        <v>3.0325616327831186</v>
      </c>
      <c r="J52" t="s">
        <v>244</v>
      </c>
    </row>
    <row r="53" spans="3:12">
      <c r="C53" s="440" t="s">
        <v>349</v>
      </c>
      <c r="D53" s="438">
        <v>1.1294900000000001</v>
      </c>
      <c r="E53" s="438">
        <v>177.71958000000001</v>
      </c>
      <c r="G53" s="439" t="e">
        <f t="shared" si="0"/>
        <v>#DIV/0!</v>
      </c>
      <c r="H53" t="str">
        <f>VLOOKUP(C53,'11.Region'!$B$22:$E$243,4,FALSE)</f>
        <v>Africa</v>
      </c>
      <c r="I53" s="430">
        <f>$K$3</f>
        <v>3.0325616327831186</v>
      </c>
      <c r="J53" t="s">
        <v>244</v>
      </c>
    </row>
    <row r="54" spans="3:12">
      <c r="C54" s="440" t="s">
        <v>363</v>
      </c>
      <c r="D54" s="438">
        <v>1.1294900000000001</v>
      </c>
      <c r="G54" s="439" t="e">
        <f t="shared" si="0"/>
        <v>#DIV/0!</v>
      </c>
      <c r="H54" t="str">
        <f>VLOOKUP(C54,'11.Region'!$B$22:$E$243,4,FALSE)</f>
        <v>Africa</v>
      </c>
      <c r="I54" s="430">
        <f>$K$3</f>
        <v>3.0325616327831186</v>
      </c>
      <c r="J54" t="s">
        <v>244</v>
      </c>
    </row>
    <row r="55" spans="3:12">
      <c r="C55" s="440" t="s">
        <v>597</v>
      </c>
      <c r="D55" s="438">
        <v>1.1294900000000001</v>
      </c>
      <c r="E55" s="438">
        <v>545.65567999999996</v>
      </c>
      <c r="G55" s="439" t="e">
        <f t="shared" si="0"/>
        <v>#DIV/0!</v>
      </c>
      <c r="H55" t="str">
        <f>VLOOKUP(C55,'11.Region'!$B$22:$E$243,4,FALSE)</f>
        <v>Africa</v>
      </c>
      <c r="I55" s="430">
        <f>$K$3</f>
        <v>3.0325616327831186</v>
      </c>
      <c r="J55" t="s">
        <v>244</v>
      </c>
    </row>
    <row r="56" spans="3:12">
      <c r="C56" s="440" t="s">
        <v>601</v>
      </c>
      <c r="D56" s="438">
        <v>1.1294900000000001</v>
      </c>
      <c r="F56" s="438">
        <v>0</v>
      </c>
      <c r="G56" s="439" t="e">
        <f t="shared" si="0"/>
        <v>#DIV/0!</v>
      </c>
      <c r="H56" t="str">
        <f>VLOOKUP(C56,'11.Region'!$B$22:$E$243,4,FALSE)</f>
        <v>Africa</v>
      </c>
      <c r="I56" s="430">
        <f>$K$3</f>
        <v>3.0325616327831186</v>
      </c>
      <c r="J56" t="s">
        <v>244</v>
      </c>
    </row>
    <row r="57" spans="3:12">
      <c r="C57" s="440" t="s">
        <v>289</v>
      </c>
      <c r="D57" s="438">
        <v>1.1294900000000001</v>
      </c>
      <c r="E57" s="438">
        <v>1</v>
      </c>
      <c r="F57" s="438">
        <v>1.01090506442159</v>
      </c>
      <c r="G57" s="439">
        <f t="shared" si="0"/>
        <v>1.117305709261889</v>
      </c>
      <c r="H57" t="str">
        <f>VLOOKUP(C57,'11.Region'!$B$22:$E$243,4,FALSE)</f>
        <v>Americas</v>
      </c>
      <c r="I57" s="430">
        <f>G57</f>
        <v>1.117305709261889</v>
      </c>
      <c r="K57" s="429">
        <f>AVERAGE(G57:G89)</f>
        <v>1.9628994497935313</v>
      </c>
      <c r="L57" s="427" t="s">
        <v>245</v>
      </c>
    </row>
    <row r="58" spans="3:12">
      <c r="C58" s="440" t="s">
        <v>653</v>
      </c>
      <c r="D58" s="438">
        <v>1.1294900000000001</v>
      </c>
      <c r="E58" s="438">
        <v>1</v>
      </c>
      <c r="F58" s="438">
        <v>1</v>
      </c>
      <c r="G58" s="439">
        <f t="shared" si="0"/>
        <v>1.1294900000000001</v>
      </c>
      <c r="H58" t="str">
        <f>VLOOKUP(C58,'11.Region'!$B$22:$E$243,4,FALSE)</f>
        <v>Americas</v>
      </c>
      <c r="I58" s="430">
        <f t="shared" ref="I58:I89" si="2">G58</f>
        <v>1.1294900000000001</v>
      </c>
    </row>
    <row r="59" spans="3:12">
      <c r="C59" s="440" t="s">
        <v>313</v>
      </c>
      <c r="D59" s="438">
        <v>1.1294900000000001</v>
      </c>
      <c r="E59" s="437">
        <v>1.298</v>
      </c>
      <c r="F59" s="438">
        <v>1.260086</v>
      </c>
      <c r="G59" s="439">
        <f t="shared" si="0"/>
        <v>1.1634745723704574</v>
      </c>
      <c r="H59" t="str">
        <f>VLOOKUP(C59,'11.Region'!$B$22:$E$243,4,FALSE)</f>
        <v>Americas</v>
      </c>
      <c r="I59" s="430">
        <f t="shared" si="2"/>
        <v>1.1634745723704574</v>
      </c>
    </row>
    <row r="60" spans="3:12">
      <c r="C60" s="440" t="s">
        <v>303</v>
      </c>
      <c r="D60" s="438">
        <v>1.1294900000000001</v>
      </c>
      <c r="E60" s="438">
        <v>2</v>
      </c>
      <c r="F60" s="438">
        <v>1.8014139203822801</v>
      </c>
      <c r="G60" s="439">
        <f t="shared" si="0"/>
        <v>1.2540038546613537</v>
      </c>
      <c r="H60" t="str">
        <f>VLOOKUP(C60,'11.Region'!$B$22:$E$243,4,FALSE)</f>
        <v>Americas</v>
      </c>
      <c r="I60" s="430">
        <f t="shared" si="2"/>
        <v>1.2540038546613537</v>
      </c>
    </row>
    <row r="61" spans="3:12">
      <c r="C61" s="440" t="s">
        <v>651</v>
      </c>
      <c r="D61" s="438">
        <v>1.1294900000000001</v>
      </c>
      <c r="E61" s="438">
        <v>28.2364</v>
      </c>
      <c r="F61" s="438">
        <v>21.759382262689901</v>
      </c>
      <c r="G61" s="439">
        <f t="shared" si="0"/>
        <v>1.4657002230566731</v>
      </c>
      <c r="H61" t="str">
        <f>VLOOKUP(C61,'11.Region'!$B$22:$E$243,4,FALSE)</f>
        <v>Americas</v>
      </c>
      <c r="I61" s="430">
        <f t="shared" si="2"/>
        <v>1.4657002230566731</v>
      </c>
    </row>
    <row r="62" spans="3:12">
      <c r="C62" s="440" t="s">
        <v>351</v>
      </c>
      <c r="D62" s="438">
        <v>1.1294900000000001</v>
      </c>
      <c r="E62" s="438">
        <v>2.7</v>
      </c>
      <c r="F62" s="438">
        <v>1.93465653722583</v>
      </c>
      <c r="G62" s="439">
        <f t="shared" si="0"/>
        <v>1.5763123538056831</v>
      </c>
      <c r="H62" t="str">
        <f>VLOOKUP(C62,'11.Region'!$B$22:$E$243,4,FALSE)</f>
        <v>Americas</v>
      </c>
      <c r="I62" s="430">
        <f t="shared" si="2"/>
        <v>1.5763123538056831</v>
      </c>
    </row>
    <row r="63" spans="3:12">
      <c r="C63" s="440" t="s">
        <v>335</v>
      </c>
      <c r="D63" s="438">
        <v>1.1294900000000001</v>
      </c>
      <c r="E63" s="438">
        <v>553.84983</v>
      </c>
      <c r="F63" s="438">
        <v>390.705340687035</v>
      </c>
      <c r="G63" s="439">
        <f t="shared" si="0"/>
        <v>1.6011243751791864</v>
      </c>
      <c r="H63" t="str">
        <f>VLOOKUP(C63,'11.Region'!$B$22:$E$243,4,FALSE)</f>
        <v>Americas</v>
      </c>
      <c r="I63" s="430">
        <f t="shared" si="2"/>
        <v>1.6011243751791864</v>
      </c>
    </row>
    <row r="64" spans="3:12">
      <c r="C64" s="440" t="s">
        <v>401</v>
      </c>
      <c r="D64" s="438">
        <v>1.1294900000000001</v>
      </c>
      <c r="E64" s="438">
        <v>2.7</v>
      </c>
      <c r="F64" s="438">
        <v>1.8772193529230501</v>
      </c>
      <c r="G64" s="439">
        <f t="shared" si="0"/>
        <v>1.6245427020829402</v>
      </c>
      <c r="H64" t="str">
        <f>VLOOKUP(C64,'11.Region'!$B$22:$E$243,4,FALSE)</f>
        <v>Americas</v>
      </c>
      <c r="I64" s="430">
        <f t="shared" si="2"/>
        <v>1.6245427020829402</v>
      </c>
    </row>
    <row r="65" spans="3:9">
      <c r="C65" s="440" t="s">
        <v>260</v>
      </c>
      <c r="D65" s="438">
        <v>1.1294900000000001</v>
      </c>
      <c r="E65" s="436">
        <v>16.5321</v>
      </c>
      <c r="F65" s="438">
        <v>11.473535519166401</v>
      </c>
      <c r="G65" s="439">
        <f t="shared" si="0"/>
        <v>1.6274705907178522</v>
      </c>
      <c r="H65" t="str">
        <f>VLOOKUP(C65,'11.Region'!$B$22:$E$243,4,FALSE)</f>
        <v>Americas</v>
      </c>
      <c r="I65" s="430">
        <f t="shared" si="2"/>
        <v>1.6274705907178522</v>
      </c>
    </row>
    <row r="66" spans="3:9">
      <c r="C66" s="440" t="s">
        <v>469</v>
      </c>
      <c r="D66" s="438">
        <v>1.1294900000000001</v>
      </c>
      <c r="E66" s="438">
        <v>2.7</v>
      </c>
      <c r="F66" s="438">
        <v>1.81800302884694</v>
      </c>
      <c r="G66" s="439">
        <f t="shared" si="0"/>
        <v>1.6774576013408569</v>
      </c>
      <c r="H66" t="str">
        <f>VLOOKUP(C66,'11.Region'!$B$22:$E$243,4,FALSE)</f>
        <v>Americas</v>
      </c>
      <c r="I66" s="430">
        <f t="shared" si="2"/>
        <v>1.6774576013408569</v>
      </c>
    </row>
    <row r="67" spans="3:9">
      <c r="C67" s="440" t="s">
        <v>317</v>
      </c>
      <c r="D67" s="438">
        <v>1.1294900000000001</v>
      </c>
      <c r="E67" s="438">
        <v>645.82664</v>
      </c>
      <c r="F67" s="438">
        <v>413.42360600000001</v>
      </c>
      <c r="G67" s="439">
        <f t="shared" ref="G67:G130" si="3">D67*E67/F67</f>
        <v>1.7644244813964496</v>
      </c>
      <c r="H67" t="str">
        <f>VLOOKUP(C67,'11.Region'!$B$22:$E$243,4,FALSE)</f>
        <v>Americas</v>
      </c>
      <c r="I67" s="430">
        <f t="shared" si="2"/>
        <v>1.7644244813964496</v>
      </c>
    </row>
    <row r="68" spans="3:9">
      <c r="C68" s="440" t="s">
        <v>267</v>
      </c>
      <c r="D68" s="438">
        <v>1.1294900000000001</v>
      </c>
      <c r="E68" s="438">
        <v>2.7</v>
      </c>
      <c r="F68" s="438">
        <v>1.7190306246393501</v>
      </c>
      <c r="G68" s="439">
        <f t="shared" si="3"/>
        <v>1.7740364576924315</v>
      </c>
      <c r="H68" t="str">
        <f>VLOOKUP(C68,'11.Region'!$B$22:$E$243,4,FALSE)</f>
        <v>Americas</v>
      </c>
      <c r="I68" s="430">
        <f t="shared" si="2"/>
        <v>1.7740364576924315</v>
      </c>
    </row>
    <row r="69" spans="3:9">
      <c r="C69" s="440" t="s">
        <v>301</v>
      </c>
      <c r="D69" s="438">
        <v>1.1294900000000001</v>
      </c>
      <c r="E69" s="438">
        <v>3.1907199999999998</v>
      </c>
      <c r="F69" s="438">
        <v>2.0243457768318098</v>
      </c>
      <c r="G69" s="439">
        <f t="shared" si="3"/>
        <v>1.7802721126230918</v>
      </c>
      <c r="H69" t="str">
        <f>VLOOKUP(C69,'11.Region'!$B$22:$E$243,4,FALSE)</f>
        <v>Americas</v>
      </c>
      <c r="I69" s="430">
        <f t="shared" si="2"/>
        <v>1.7802721126230918</v>
      </c>
    </row>
    <row r="70" spans="3:9">
      <c r="C70" s="440" t="s">
        <v>455</v>
      </c>
      <c r="D70" s="438">
        <v>1.1294900000000001</v>
      </c>
      <c r="E70" s="438">
        <v>2.7</v>
      </c>
      <c r="F70" s="438">
        <v>1.70478903847639</v>
      </c>
      <c r="G70" s="439">
        <f t="shared" si="3"/>
        <v>1.7888565277997799</v>
      </c>
      <c r="H70" t="str">
        <f>VLOOKUP(C70,'11.Region'!$B$22:$E$243,4,FALSE)</f>
        <v>Americas</v>
      </c>
      <c r="I70" s="430">
        <f t="shared" si="2"/>
        <v>1.7888565277997799</v>
      </c>
    </row>
    <row r="71" spans="3:9">
      <c r="C71" s="440" t="s">
        <v>549</v>
      </c>
      <c r="D71" s="438">
        <v>1.1294900000000001</v>
      </c>
      <c r="E71" s="438">
        <v>1</v>
      </c>
      <c r="F71" s="438">
        <v>0.61718478439930402</v>
      </c>
      <c r="G71" s="439">
        <f t="shared" si="3"/>
        <v>1.8300677990616934</v>
      </c>
      <c r="H71" t="str">
        <f>VLOOKUP(C71,'11.Region'!$B$22:$E$243,4,FALSE)</f>
        <v>Americas</v>
      </c>
      <c r="I71" s="430">
        <f t="shared" si="2"/>
        <v>1.8300677990616934</v>
      </c>
    </row>
    <row r="72" spans="3:9">
      <c r="C72" s="440" t="s">
        <v>657</v>
      </c>
      <c r="D72" s="438">
        <v>1.1294900000000001</v>
      </c>
      <c r="E72" s="438">
        <v>2.7</v>
      </c>
      <c r="F72" s="438">
        <v>1.6472984713788901</v>
      </c>
      <c r="G72" s="439">
        <f t="shared" si="3"/>
        <v>1.8512874582147087</v>
      </c>
      <c r="H72" t="str">
        <f>VLOOKUP(C72,'11.Region'!$B$22:$E$243,4,FALSE)</f>
        <v>Americas</v>
      </c>
      <c r="I72" s="430">
        <f t="shared" si="2"/>
        <v>1.8512874582147087</v>
      </c>
    </row>
    <row r="73" spans="3:9">
      <c r="C73" s="440" t="s">
        <v>409</v>
      </c>
      <c r="D73" s="438">
        <v>1.1294900000000001</v>
      </c>
      <c r="E73" s="438">
        <v>198.80174</v>
      </c>
      <c r="F73" s="438">
        <v>119.542572517499</v>
      </c>
      <c r="G73" s="439">
        <f t="shared" si="3"/>
        <v>1.8783649421609236</v>
      </c>
      <c r="H73" t="str">
        <f>VLOOKUP(C73,'11.Region'!$B$22:$E$243,4,FALSE)</f>
        <v>Americas</v>
      </c>
      <c r="I73" s="430">
        <f t="shared" si="2"/>
        <v>1.8783649421609236</v>
      </c>
    </row>
    <row r="74" spans="3:9">
      <c r="C74" s="440" t="s">
        <v>439</v>
      </c>
      <c r="D74" s="438">
        <v>1.1294900000000001</v>
      </c>
      <c r="E74" s="438">
        <v>126.88545999999999</v>
      </c>
      <c r="F74" s="438">
        <v>72.686591923783595</v>
      </c>
      <c r="G74" s="439">
        <f t="shared" si="3"/>
        <v>1.971695940369244</v>
      </c>
      <c r="H74" t="str">
        <f>VLOOKUP(C74,'11.Region'!$B$22:$E$243,4,FALSE)</f>
        <v>Americas</v>
      </c>
      <c r="I74" s="430">
        <f t="shared" si="2"/>
        <v>1.971695940369244</v>
      </c>
    </row>
    <row r="75" spans="3:9">
      <c r="C75" s="440" t="s">
        <v>295</v>
      </c>
      <c r="D75" s="438">
        <v>1.1294900000000001</v>
      </c>
      <c r="E75" s="438">
        <v>2</v>
      </c>
      <c r="F75" s="438">
        <v>1.14214172621669</v>
      </c>
      <c r="G75" s="439">
        <f t="shared" si="3"/>
        <v>1.9778456107043767</v>
      </c>
      <c r="H75" t="str">
        <f>VLOOKUP(C75,'11.Region'!$B$22:$E$243,4,FALSE)</f>
        <v>Americas</v>
      </c>
      <c r="I75" s="430">
        <f t="shared" si="2"/>
        <v>1.9778456107043767</v>
      </c>
    </row>
    <row r="76" spans="3:9">
      <c r="C76" s="440" t="s">
        <v>405</v>
      </c>
      <c r="D76" s="438">
        <v>1.1294900000000001</v>
      </c>
      <c r="E76" s="438">
        <v>7.18309</v>
      </c>
      <c r="F76" s="438">
        <v>4.0308377143937504</v>
      </c>
      <c r="G76" s="439">
        <f t="shared" si="3"/>
        <v>2.0127896231417131</v>
      </c>
      <c r="H76" t="str">
        <f>VLOOKUP(C76,'11.Region'!$B$22:$E$243,4,FALSE)</f>
        <v>Americas</v>
      </c>
      <c r="I76" s="430">
        <f t="shared" si="2"/>
        <v>2.0127896231417131</v>
      </c>
    </row>
    <row r="77" spans="3:9">
      <c r="C77" s="440" t="s">
        <v>359</v>
      </c>
      <c r="D77" s="438">
        <v>1.1294900000000001</v>
      </c>
      <c r="E77" s="438">
        <v>1</v>
      </c>
      <c r="F77" s="438">
        <v>0.53359029793736601</v>
      </c>
      <c r="G77" s="439">
        <f t="shared" si="3"/>
        <v>2.1167738700762175</v>
      </c>
      <c r="H77" t="str">
        <f>VLOOKUP(C77,'11.Region'!$B$22:$E$243,4,FALSE)</f>
        <v>Americas</v>
      </c>
      <c r="I77" s="430">
        <f t="shared" si="2"/>
        <v>2.1167738700762175</v>
      </c>
    </row>
    <row r="78" spans="3:9">
      <c r="C78" s="440" t="s">
        <v>637</v>
      </c>
      <c r="D78" s="438">
        <v>1.1294900000000001</v>
      </c>
      <c r="E78" s="438">
        <v>6.6286399999999999</v>
      </c>
      <c r="F78" s="438">
        <v>3.4622162270099399</v>
      </c>
      <c r="G78" s="439">
        <f t="shared" si="3"/>
        <v>2.1624826708370994</v>
      </c>
      <c r="H78" t="str">
        <f>VLOOKUP(C78,'11.Region'!$B$22:$E$243,4,FALSE)</f>
        <v>Americas</v>
      </c>
      <c r="I78" s="430">
        <f t="shared" si="2"/>
        <v>2.1624826708370994</v>
      </c>
    </row>
    <row r="79" spans="3:9">
      <c r="C79" s="440" t="s">
        <v>413</v>
      </c>
      <c r="D79" s="438">
        <v>1.1294900000000001</v>
      </c>
      <c r="E79" s="438">
        <v>23.124829999999999</v>
      </c>
      <c r="F79" s="438">
        <v>11.6823631907139</v>
      </c>
      <c r="G79" s="439">
        <f t="shared" si="3"/>
        <v>2.2357860143794994</v>
      </c>
      <c r="H79" t="str">
        <f>VLOOKUP(C79,'11.Region'!$B$22:$E$243,4,FALSE)</f>
        <v>Americas</v>
      </c>
      <c r="I79" s="430">
        <f t="shared" si="2"/>
        <v>2.2357860143794994</v>
      </c>
    </row>
    <row r="80" spans="3:9">
      <c r="C80" s="440" t="s">
        <v>551</v>
      </c>
      <c r="D80" s="438">
        <v>1.1294900000000001</v>
      </c>
      <c r="E80" s="438">
        <v>3.2229899999999998</v>
      </c>
      <c r="F80" s="438">
        <v>1.59512337178714</v>
      </c>
      <c r="G80" s="439">
        <f t="shared" si="3"/>
        <v>2.2821651537971333</v>
      </c>
      <c r="H80" t="str">
        <f>VLOOKUP(C80,'11.Region'!$B$22:$E$243,4,FALSE)</f>
        <v>Americas</v>
      </c>
      <c r="I80" s="430">
        <f t="shared" si="2"/>
        <v>2.2821651537971333</v>
      </c>
    </row>
    <row r="81" spans="3:10">
      <c r="C81" s="440" t="s">
        <v>497</v>
      </c>
      <c r="D81" s="438">
        <v>1.1294900000000001</v>
      </c>
      <c r="E81" s="438">
        <v>18.90363</v>
      </c>
      <c r="F81" s="438">
        <v>9.2854510000000001</v>
      </c>
      <c r="G81" s="439">
        <f t="shared" si="3"/>
        <v>2.2994533112823494</v>
      </c>
      <c r="H81" t="str">
        <f>VLOOKUP(C81,'11.Region'!$B$22:$E$243,4,FALSE)</f>
        <v>Americas</v>
      </c>
      <c r="I81" s="430">
        <f t="shared" si="2"/>
        <v>2.2994533112823494</v>
      </c>
    </row>
    <row r="82" spans="3:10">
      <c r="C82" s="440" t="s">
        <v>593</v>
      </c>
      <c r="D82" s="438">
        <v>1.1294900000000001</v>
      </c>
      <c r="E82" s="432">
        <v>1</v>
      </c>
      <c r="F82" s="432">
        <v>0.485795653310238</v>
      </c>
      <c r="G82" s="439">
        <f t="shared" si="3"/>
        <v>2.3250310954896238</v>
      </c>
      <c r="H82" t="str">
        <f>VLOOKUP(C82,'11.Region'!$B$22:$E$243,4,FALSE)</f>
        <v>Americas</v>
      </c>
      <c r="I82" s="430">
        <f t="shared" si="2"/>
        <v>2.3250310954896238</v>
      </c>
    </row>
    <row r="83" spans="3:10">
      <c r="C83" s="440" t="s">
        <v>299</v>
      </c>
      <c r="D83" s="438">
        <v>1.1294900000000001</v>
      </c>
      <c r="E83" s="438">
        <v>6.7774900000000002</v>
      </c>
      <c r="F83" s="438">
        <v>3.1022954198650998</v>
      </c>
      <c r="G83" s="439">
        <f t="shared" si="3"/>
        <v>2.4675622866480187</v>
      </c>
      <c r="H83" t="str">
        <f>VLOOKUP(C83,'11.Region'!$B$22:$E$243,4,FALSE)</f>
        <v>Americas</v>
      </c>
      <c r="I83" s="430">
        <f t="shared" si="2"/>
        <v>2.4675622866480187</v>
      </c>
    </row>
    <row r="84" spans="3:10">
      <c r="C84" s="440" t="s">
        <v>567</v>
      </c>
      <c r="D84" s="438">
        <v>1.1294900000000001</v>
      </c>
      <c r="E84" s="438">
        <v>5513.8901599999999</v>
      </c>
      <c r="F84" s="438">
        <v>2505.7090131397499</v>
      </c>
      <c r="G84" s="439">
        <f t="shared" si="3"/>
        <v>2.485477668859331</v>
      </c>
      <c r="H84" t="str">
        <f>VLOOKUP(C84,'11.Region'!$B$22:$E$243,4,FALSE)</f>
        <v>Americas</v>
      </c>
      <c r="I84" s="430">
        <f t="shared" si="2"/>
        <v>2.485477668859331</v>
      </c>
    </row>
    <row r="85" spans="3:10">
      <c r="C85" s="440" t="s">
        <v>355</v>
      </c>
      <c r="D85" s="438">
        <v>1.1294900000000001</v>
      </c>
      <c r="E85" s="438">
        <v>46.838909999999998</v>
      </c>
      <c r="F85" s="438">
        <v>20.934745642488799</v>
      </c>
      <c r="G85" s="439">
        <f t="shared" si="3"/>
        <v>2.5270944944526477</v>
      </c>
      <c r="H85" t="str">
        <f>VLOOKUP(C85,'11.Region'!$B$22:$E$243,4,FALSE)</f>
        <v>Americas</v>
      </c>
      <c r="I85" s="430">
        <f t="shared" si="2"/>
        <v>2.5270944944526477</v>
      </c>
    </row>
    <row r="86" spans="3:10">
      <c r="C86" s="440" t="s">
        <v>329</v>
      </c>
      <c r="D86" s="438">
        <v>1.1294900000000001</v>
      </c>
      <c r="E86" s="438">
        <v>2941.8349400000002</v>
      </c>
      <c r="F86" s="438">
        <v>1278.0404018831</v>
      </c>
      <c r="G86" s="439">
        <f t="shared" si="3"/>
        <v>2.5998967962865138</v>
      </c>
      <c r="H86" t="str">
        <f>VLOOKUP(C86,'11.Region'!$B$22:$E$243,4,FALSE)</f>
        <v>Americas</v>
      </c>
      <c r="I86" s="430">
        <f t="shared" si="2"/>
        <v>2.5998967962865138</v>
      </c>
    </row>
    <row r="87" spans="3:10">
      <c r="C87" s="440" t="s">
        <v>417</v>
      </c>
      <c r="D87" s="438">
        <v>1.1294900000000001</v>
      </c>
      <c r="E87" s="438">
        <v>64.112539999999996</v>
      </c>
      <c r="F87" s="438">
        <v>27.692046680367</v>
      </c>
      <c r="G87" s="439">
        <f t="shared" si="3"/>
        <v>2.6149917209239768</v>
      </c>
      <c r="H87" t="str">
        <f>VLOOKUP(C87,'11.Region'!$B$22:$E$243,4,FALSE)</f>
        <v>Americas</v>
      </c>
      <c r="I87" s="430">
        <f t="shared" si="2"/>
        <v>2.6149917209239768</v>
      </c>
    </row>
    <row r="88" spans="3:10">
      <c r="C88" s="440" t="s">
        <v>605</v>
      </c>
      <c r="D88" s="438">
        <v>1.1294900000000001</v>
      </c>
      <c r="E88" s="438">
        <v>7.4244000000000003</v>
      </c>
      <c r="F88" s="438">
        <v>2.9231660338134802</v>
      </c>
      <c r="G88" s="439">
        <f t="shared" si="3"/>
        <v>2.8687339203446278</v>
      </c>
      <c r="H88" t="str">
        <f>VLOOKUP(C88,'11.Region'!$B$22:$E$243,4,FALSE)</f>
        <v>Americas</v>
      </c>
      <c r="I88" s="430">
        <f t="shared" si="2"/>
        <v>2.8687339203446278</v>
      </c>
    </row>
    <row r="89" spans="3:10">
      <c r="C89" s="440" t="s">
        <v>533</v>
      </c>
      <c r="D89" s="438">
        <v>1.1294900000000001</v>
      </c>
      <c r="E89" s="438">
        <v>29.582640000000001</v>
      </c>
      <c r="F89" s="438">
        <v>11.428389665460401</v>
      </c>
      <c r="G89" s="439">
        <f t="shared" si="3"/>
        <v>2.9237099041681942</v>
      </c>
      <c r="H89" t="str">
        <f>VLOOKUP(C89,'11.Region'!$B$22:$E$243,4,FALSE)</f>
        <v>Americas</v>
      </c>
      <c r="I89" s="430">
        <f t="shared" si="2"/>
        <v>2.9237099041681942</v>
      </c>
    </row>
    <row r="90" spans="3:10">
      <c r="C90" s="440" t="s">
        <v>243</v>
      </c>
      <c r="D90" s="438">
        <v>1.1294900000000001</v>
      </c>
      <c r="E90" s="438">
        <v>1.7874099999999999</v>
      </c>
      <c r="G90" s="439" t="e">
        <f t="shared" si="3"/>
        <v>#DIV/0!</v>
      </c>
      <c r="H90" t="str">
        <f>VLOOKUP(C90,'11.Region'!$B$22:$E$243,4,FALSE)</f>
        <v>Americas</v>
      </c>
      <c r="I90" s="430">
        <f>$K$57</f>
        <v>1.9628994497935313</v>
      </c>
      <c r="J90" t="s">
        <v>244</v>
      </c>
    </row>
    <row r="91" spans="3:10">
      <c r="C91" s="440" t="s">
        <v>297</v>
      </c>
      <c r="D91" s="438">
        <v>1.1294900000000001</v>
      </c>
      <c r="E91" s="438">
        <v>1</v>
      </c>
      <c r="G91" s="439" t="e">
        <f t="shared" si="3"/>
        <v>#DIV/0!</v>
      </c>
      <c r="H91" t="str">
        <f>VLOOKUP(C91,'11.Region'!$B$22:$E$243,4,FALSE)</f>
        <v>Americas</v>
      </c>
      <c r="I91" s="430">
        <f t="shared" ref="I91:I102" si="4">$K$57</f>
        <v>1.9628994497935313</v>
      </c>
      <c r="J91" t="s">
        <v>244</v>
      </c>
    </row>
    <row r="92" spans="3:10">
      <c r="C92" s="440" t="s">
        <v>337</v>
      </c>
      <c r="D92" s="438">
        <v>1.1294900000000001</v>
      </c>
      <c r="G92" s="439" t="e">
        <f t="shared" si="3"/>
        <v>#DIV/0!</v>
      </c>
      <c r="H92" t="str">
        <f>VLOOKUP(C92,'11.Region'!$B$22:$E$243,4,FALSE)</f>
        <v>Americas</v>
      </c>
      <c r="I92" s="430">
        <f t="shared" si="4"/>
        <v>1.9628994497935313</v>
      </c>
      <c r="J92" t="s">
        <v>244</v>
      </c>
    </row>
    <row r="93" spans="3:10">
      <c r="C93" s="440" t="s">
        <v>339</v>
      </c>
      <c r="D93" s="438">
        <v>1.1294900000000001</v>
      </c>
      <c r="G93" s="439" t="e">
        <f t="shared" si="3"/>
        <v>#DIV/0!</v>
      </c>
      <c r="H93" t="str">
        <f>VLOOKUP(C93,'11.Region'!$B$22:$E$243,4,FALSE)</f>
        <v>Americas</v>
      </c>
      <c r="I93" s="430">
        <f t="shared" si="4"/>
        <v>1.9628994497935313</v>
      </c>
      <c r="J93" t="s">
        <v>244</v>
      </c>
    </row>
    <row r="94" spans="3:10">
      <c r="C94" s="440" t="s">
        <v>341</v>
      </c>
      <c r="D94" s="438">
        <v>1.1294900000000001</v>
      </c>
      <c r="G94" s="439" t="e">
        <f t="shared" si="3"/>
        <v>#DIV/0!</v>
      </c>
      <c r="H94" t="str">
        <f>VLOOKUP(C94,'11.Region'!$B$22:$E$243,4,FALSE)</f>
        <v>Americas</v>
      </c>
      <c r="I94" s="430">
        <f t="shared" si="4"/>
        <v>1.9628994497935313</v>
      </c>
      <c r="J94" t="s">
        <v>244</v>
      </c>
    </row>
    <row r="95" spans="3:10">
      <c r="C95" s="440" t="s">
        <v>403</v>
      </c>
      <c r="D95" s="438">
        <v>1.1294900000000001</v>
      </c>
      <c r="E95" s="433">
        <v>6.5973600000000001</v>
      </c>
      <c r="G95" s="439" t="e">
        <f t="shared" si="3"/>
        <v>#DIV/0!</v>
      </c>
      <c r="H95" t="str">
        <f>VLOOKUP(C95,'11.Region'!$B$22:$E$243,4,FALSE)</f>
        <v>Americas</v>
      </c>
      <c r="I95" s="430">
        <f t="shared" si="4"/>
        <v>1.9628994497935313</v>
      </c>
      <c r="J95" t="s">
        <v>244</v>
      </c>
    </row>
    <row r="96" spans="3:10">
      <c r="C96" s="440" t="s">
        <v>485</v>
      </c>
      <c r="D96" s="438">
        <v>1.1294900000000001</v>
      </c>
      <c r="G96" s="439" t="e">
        <f t="shared" si="3"/>
        <v>#DIV/0!</v>
      </c>
      <c r="H96" t="str">
        <f>VLOOKUP(C96,'11.Region'!$B$22:$E$243,4,FALSE)</f>
        <v>Americas</v>
      </c>
      <c r="I96" s="430">
        <f t="shared" si="4"/>
        <v>1.9628994497935313</v>
      </c>
      <c r="J96" t="s">
        <v>244</v>
      </c>
    </row>
    <row r="97" spans="3:12">
      <c r="C97" s="440" t="s">
        <v>561</v>
      </c>
      <c r="D97" s="438">
        <v>1.1294900000000001</v>
      </c>
      <c r="G97" s="439" t="e">
        <f t="shared" si="3"/>
        <v>#DIV/0!</v>
      </c>
      <c r="H97" t="str">
        <f>VLOOKUP(C97,'11.Region'!$B$22:$E$243,4,FALSE)</f>
        <v>Americas</v>
      </c>
      <c r="I97" s="430">
        <f t="shared" si="4"/>
        <v>1.9628994497935313</v>
      </c>
      <c r="J97" t="s">
        <v>244</v>
      </c>
    </row>
    <row r="98" spans="3:12">
      <c r="C98" s="440" t="s">
        <v>615</v>
      </c>
      <c r="D98" s="438">
        <v>1.1294900000000001</v>
      </c>
      <c r="G98" s="439" t="e">
        <f t="shared" si="3"/>
        <v>#DIV/0!</v>
      </c>
      <c r="H98" t="str">
        <f>VLOOKUP(C98,'11.Region'!$B$22:$E$243,4,FALSE)</f>
        <v>Americas</v>
      </c>
      <c r="I98" s="430">
        <f t="shared" si="4"/>
        <v>1.9628994497935313</v>
      </c>
      <c r="J98" t="s">
        <v>244</v>
      </c>
    </row>
    <row r="99" spans="3:12">
      <c r="C99" s="440" t="s">
        <v>621</v>
      </c>
      <c r="D99" s="438">
        <v>1.1294900000000001</v>
      </c>
      <c r="G99" s="439" t="e">
        <f t="shared" si="3"/>
        <v>#DIV/0!</v>
      </c>
      <c r="H99" t="str">
        <f>VLOOKUP(C99,'11.Region'!$B$22:$E$243,4,FALSE)</f>
        <v>Americas</v>
      </c>
      <c r="I99" s="430">
        <f t="shared" si="4"/>
        <v>1.9628994497935313</v>
      </c>
      <c r="J99" t="s">
        <v>244</v>
      </c>
    </row>
    <row r="100" spans="3:12">
      <c r="C100" s="440" t="s">
        <v>659</v>
      </c>
      <c r="D100" s="438">
        <v>1.1294900000000001</v>
      </c>
      <c r="G100" s="439" t="e">
        <f t="shared" si="3"/>
        <v>#DIV/0!</v>
      </c>
      <c r="H100" t="str">
        <f>VLOOKUP(C100,'11.Region'!$B$22:$E$243,4,FALSE)</f>
        <v>Americas</v>
      </c>
      <c r="I100" s="430">
        <f t="shared" si="4"/>
        <v>1.9628994497935313</v>
      </c>
      <c r="J100" t="s">
        <v>244</v>
      </c>
    </row>
    <row r="101" spans="3:12">
      <c r="C101" s="440" t="s">
        <v>661</v>
      </c>
      <c r="D101" s="438">
        <v>1.1294900000000001</v>
      </c>
      <c r="G101" s="439" t="e">
        <f t="shared" si="3"/>
        <v>#DIV/0!</v>
      </c>
      <c r="H101" t="str">
        <f>VLOOKUP(C101,'11.Region'!$B$22:$E$243,4,FALSE)</f>
        <v>Americas</v>
      </c>
      <c r="I101" s="430">
        <f t="shared" si="4"/>
        <v>1.9628994497935313</v>
      </c>
      <c r="J101" t="s">
        <v>244</v>
      </c>
    </row>
    <row r="102" spans="3:12">
      <c r="C102" s="440" t="s">
        <v>663</v>
      </c>
      <c r="D102" s="438">
        <v>1.1294900000000001</v>
      </c>
      <c r="G102" s="439" t="e">
        <f t="shared" si="3"/>
        <v>#DIV/0!</v>
      </c>
      <c r="H102" t="str">
        <f>VLOOKUP(C102,'11.Region'!$B$22:$E$243,4,FALSE)</f>
        <v>Americas</v>
      </c>
      <c r="I102" s="430">
        <f t="shared" si="4"/>
        <v>1.9628994497935313</v>
      </c>
      <c r="J102" t="s">
        <v>244</v>
      </c>
    </row>
    <row r="103" spans="3:12">
      <c r="C103" s="440" t="s">
        <v>569</v>
      </c>
      <c r="D103" s="438">
        <v>1.1294900000000001</v>
      </c>
      <c r="F103" s="438">
        <v>2.28021651476943</v>
      </c>
      <c r="G103" s="439">
        <f t="shared" si="3"/>
        <v>0</v>
      </c>
      <c r="H103" t="str">
        <f>VLOOKUP(C103,'11.Region'!$B$22:$E$243,4,FALSE)</f>
        <v>Asia</v>
      </c>
      <c r="I103" s="430">
        <f>$K$103</f>
        <v>3.0027294367224551</v>
      </c>
      <c r="J103" t="s">
        <v>244</v>
      </c>
      <c r="K103" s="429">
        <f>AVERAGE(G104:G149)</f>
        <v>3.0027294367224551</v>
      </c>
      <c r="L103" s="427" t="s">
        <v>248</v>
      </c>
    </row>
    <row r="104" spans="3:12">
      <c r="C104" s="440" t="s">
        <v>435</v>
      </c>
      <c r="D104" s="438">
        <v>1.1294900000000001</v>
      </c>
      <c r="E104" s="438">
        <v>3.5956299999999999</v>
      </c>
      <c r="F104" s="438">
        <v>3.7736239999999999</v>
      </c>
      <c r="G104" s="439">
        <f t="shared" si="3"/>
        <v>1.0762143045253052</v>
      </c>
      <c r="H104" t="str">
        <f>VLOOKUP(C104,'11.Region'!$B$22:$E$243,4,FALSE)</f>
        <v>Asia</v>
      </c>
      <c r="I104" s="430">
        <f>G104</f>
        <v>1.0762143045253052</v>
      </c>
    </row>
    <row r="105" spans="3:12">
      <c r="C105" s="440" t="s">
        <v>443</v>
      </c>
      <c r="D105" s="438">
        <v>1.1294900000000001</v>
      </c>
      <c r="E105" s="438">
        <v>112.14867</v>
      </c>
      <c r="F105" s="438">
        <v>98.239493999999993</v>
      </c>
      <c r="G105" s="439">
        <f t="shared" si="3"/>
        <v>1.289408120101881</v>
      </c>
      <c r="H105" t="str">
        <f>VLOOKUP(C105,'11.Region'!$B$22:$E$243,4,FALSE)</f>
        <v>Asia</v>
      </c>
      <c r="I105" s="430">
        <f t="shared" ref="I105:I149" si="5">G105</f>
        <v>1.289408120101881</v>
      </c>
    </row>
    <row r="106" spans="3:12">
      <c r="C106" s="440" t="s">
        <v>457</v>
      </c>
      <c r="D106" s="438">
        <v>1.1294900000000001</v>
      </c>
      <c r="E106" s="438">
        <v>1128.64633</v>
      </c>
      <c r="F106" s="438">
        <v>878.77373</v>
      </c>
      <c r="G106" s="439">
        <f t="shared" si="3"/>
        <v>1.4506518569594702</v>
      </c>
      <c r="H106" t="str">
        <f>VLOOKUP(C106,'11.Region'!$B$22:$E$243,4,FALSE)</f>
        <v>Asia</v>
      </c>
      <c r="I106" s="430">
        <f t="shared" si="5"/>
        <v>1.4506518569594702</v>
      </c>
    </row>
    <row r="107" spans="3:12">
      <c r="C107" s="440" t="s">
        <v>411</v>
      </c>
      <c r="D107" s="438">
        <v>1.1294900000000001</v>
      </c>
      <c r="E107" s="438">
        <v>7.7920600000000002</v>
      </c>
      <c r="F107" s="438">
        <v>5.8497749528696197</v>
      </c>
      <c r="G107" s="439">
        <f t="shared" si="3"/>
        <v>1.5045115274191232</v>
      </c>
      <c r="H107" t="str">
        <f>VLOOKUP(C107,'11.Region'!$B$22:$E$243,4,FALSE)</f>
        <v>Asia</v>
      </c>
      <c r="I107" s="430">
        <f t="shared" si="5"/>
        <v>1.5045115274191232</v>
      </c>
    </row>
    <row r="108" spans="3:12">
      <c r="C108" s="440" t="s">
        <v>343</v>
      </c>
      <c r="D108" s="438">
        <v>1.1294900000000001</v>
      </c>
      <c r="E108" s="438">
        <f>1/1.12949</f>
        <v>0.88535533736465122</v>
      </c>
      <c r="F108" s="438">
        <v>0.64898604908278901</v>
      </c>
      <c r="G108" s="439">
        <f t="shared" si="3"/>
        <v>1.5408651717757238</v>
      </c>
      <c r="H108" t="str">
        <f>VLOOKUP(C108,'11.Region'!$B$22:$E$243,4,FALSE)</f>
        <v>Asia</v>
      </c>
      <c r="I108" s="430">
        <f t="shared" si="5"/>
        <v>1.5408651717757238</v>
      </c>
    </row>
    <row r="109" spans="3:12">
      <c r="C109" s="440" t="s">
        <v>483</v>
      </c>
      <c r="D109" s="438">
        <v>1.1294900000000001</v>
      </c>
      <c r="E109" s="438">
        <v>7.8552299999999997</v>
      </c>
      <c r="F109" s="438">
        <v>5.6395797814874697</v>
      </c>
      <c r="G109" s="439">
        <f t="shared" si="3"/>
        <v>1.5732384462091706</v>
      </c>
      <c r="H109" t="str">
        <f>VLOOKUP(C109,'11.Region'!$B$22:$E$243,4,FALSE)</f>
        <v>Asia</v>
      </c>
      <c r="I109" s="430">
        <f t="shared" si="5"/>
        <v>1.5732384462091706</v>
      </c>
    </row>
    <row r="110" spans="3:12">
      <c r="C110" s="440" t="s">
        <v>495</v>
      </c>
      <c r="D110" s="438">
        <v>1.1294900000000001</v>
      </c>
      <c r="E110" s="438">
        <v>15.22988</v>
      </c>
      <c r="F110" s="438">
        <v>9.7124280794573394</v>
      </c>
      <c r="G110" s="439">
        <f t="shared" si="3"/>
        <v>1.7711325139780212</v>
      </c>
      <c r="H110" t="str">
        <f>VLOOKUP(C110,'11.Region'!$B$22:$E$243,4,FALSE)</f>
        <v>Asia</v>
      </c>
      <c r="I110" s="430">
        <f t="shared" si="5"/>
        <v>1.7711325139780212</v>
      </c>
    </row>
    <row r="111" spans="3:12">
      <c r="C111" s="440" t="s">
        <v>587</v>
      </c>
      <c r="D111" s="438">
        <v>1.1294900000000001</v>
      </c>
      <c r="E111" s="438">
        <v>1.38069</v>
      </c>
      <c r="F111" s="438">
        <v>0.84870147734258605</v>
      </c>
      <c r="G111" s="439">
        <f t="shared" si="3"/>
        <v>1.8374841917124456</v>
      </c>
      <c r="H111" t="str">
        <f>VLOOKUP(C111,'11.Region'!$B$22:$E$243,4,FALSE)</f>
        <v>Asia</v>
      </c>
      <c r="I111" s="430">
        <f t="shared" si="5"/>
        <v>1.8374841917124456</v>
      </c>
    </row>
    <row r="112" spans="3:12">
      <c r="C112" s="440" t="s">
        <v>463</v>
      </c>
      <c r="D112" s="438">
        <v>1.1294900000000001</v>
      </c>
      <c r="E112" s="432">
        <v>1485.82845</v>
      </c>
      <c r="F112" s="432">
        <v>875.56989920604201</v>
      </c>
      <c r="G112" s="439">
        <f t="shared" si="3"/>
        <v>1.9167268969756734</v>
      </c>
      <c r="H112" t="str">
        <f>VLOOKUP(C112,'11.Region'!$B$22:$E$243,4,FALSE)</f>
        <v>Asia</v>
      </c>
      <c r="I112" s="430">
        <f t="shared" si="5"/>
        <v>1.9167268969756734</v>
      </c>
    </row>
    <row r="113" spans="3:9">
      <c r="C113" s="440" t="s">
        <v>258</v>
      </c>
      <c r="D113" s="438">
        <v>1.1294900000000001</v>
      </c>
      <c r="E113" s="438">
        <v>3.6721499999999998</v>
      </c>
      <c r="F113" s="438">
        <v>2.0231405565280101</v>
      </c>
      <c r="G113" s="439">
        <f t="shared" si="3"/>
        <v>2.0501080313559403</v>
      </c>
      <c r="H113" t="str">
        <f>VLOOKUP(C113,'11.Region'!$B$22:$E$243,4,FALSE)</f>
        <v>Asia</v>
      </c>
      <c r="I113" s="430">
        <f t="shared" si="5"/>
        <v>2.0501080313559403</v>
      </c>
    </row>
    <row r="114" spans="3:9">
      <c r="C114" s="440" t="s">
        <v>319</v>
      </c>
      <c r="D114" s="438">
        <v>1.1294900000000001</v>
      </c>
      <c r="E114" s="438">
        <v>6.7582100000000001</v>
      </c>
      <c r="F114" s="438">
        <v>3.5497592688073101</v>
      </c>
      <c r="G114" s="439">
        <f t="shared" si="3"/>
        <v>2.1503797961670617</v>
      </c>
      <c r="H114" t="str">
        <f>VLOOKUP(C114,'11.Region'!$B$22:$E$243,4,FALSE)</f>
        <v>Asia</v>
      </c>
      <c r="I114" s="430">
        <f t="shared" si="5"/>
        <v>2.1503797961670617</v>
      </c>
    </row>
    <row r="115" spans="3:9">
      <c r="C115" s="440" t="s">
        <v>287</v>
      </c>
      <c r="D115" s="438">
        <v>1.1294900000000001</v>
      </c>
      <c r="E115" s="438">
        <v>0.37404999999999999</v>
      </c>
      <c r="F115" s="438">
        <v>0.18714228331905999</v>
      </c>
      <c r="G115" s="439">
        <f t="shared" si="3"/>
        <v>2.2575642821440924</v>
      </c>
      <c r="H115" t="str">
        <f>VLOOKUP(C115,'11.Region'!$B$22:$E$243,4,FALSE)</f>
        <v>Asia</v>
      </c>
      <c r="I115" s="430">
        <f t="shared" si="5"/>
        <v>2.2575642821440924</v>
      </c>
    </row>
    <row r="116" spans="3:9">
      <c r="C116" s="440" t="s">
        <v>573</v>
      </c>
      <c r="D116" s="438">
        <v>1.1294900000000001</v>
      </c>
      <c r="E116" s="438">
        <v>3.6274899999999999</v>
      </c>
      <c r="F116" s="438">
        <v>1.80062463601717</v>
      </c>
      <c r="G116" s="439">
        <f t="shared" si="3"/>
        <v>2.2754401989982163</v>
      </c>
      <c r="H116" t="str">
        <f>VLOOKUP(C116,'11.Region'!$B$22:$E$243,4,FALSE)</f>
        <v>Asia</v>
      </c>
      <c r="I116" s="430">
        <f t="shared" si="5"/>
        <v>2.2754401989982163</v>
      </c>
    </row>
    <row r="117" spans="3:9">
      <c r="C117" s="440" t="s">
        <v>441</v>
      </c>
      <c r="D117" s="438">
        <v>1.1294900000000001</v>
      </c>
      <c r="E117" s="438">
        <v>0.70691000000000004</v>
      </c>
      <c r="F117" s="438">
        <v>0.32033331089147099</v>
      </c>
      <c r="G117" s="439">
        <f t="shared" si="3"/>
        <v>2.4925530650495307</v>
      </c>
      <c r="H117" t="str">
        <f>VLOOKUP(C117,'11.Region'!$B$22:$E$243,4,FALSE)</f>
        <v>Asia</v>
      </c>
      <c r="I117" s="430">
        <f t="shared" si="5"/>
        <v>2.4925530650495307</v>
      </c>
    </row>
    <row r="118" spans="3:9">
      <c r="C118" s="440" t="s">
        <v>262</v>
      </c>
      <c r="D118" s="438">
        <v>1.1294900000000001</v>
      </c>
      <c r="E118" s="438">
        <v>466.05248</v>
      </c>
      <c r="F118" s="438">
        <v>196.97951259922999</v>
      </c>
      <c r="G118" s="439">
        <f t="shared" si="3"/>
        <v>2.6723673375423806</v>
      </c>
      <c r="H118" t="str">
        <f>VLOOKUP(C118,'11.Region'!$B$22:$E$243,4,FALSE)</f>
        <v>Asia</v>
      </c>
      <c r="I118" s="430">
        <f t="shared" si="5"/>
        <v>2.6723673375423806</v>
      </c>
    </row>
    <row r="119" spans="3:9">
      <c r="C119" s="440" t="s">
        <v>631</v>
      </c>
      <c r="D119" s="438">
        <v>1.1294900000000001</v>
      </c>
      <c r="E119" s="438">
        <v>3.4114100000000001</v>
      </c>
      <c r="F119" s="438">
        <v>1.43087554470926</v>
      </c>
      <c r="G119" s="439">
        <f t="shared" si="3"/>
        <v>2.6928641663820763</v>
      </c>
      <c r="H119" t="str">
        <f>VLOOKUP(C119,'11.Region'!$B$22:$E$243,4,FALSE)</f>
        <v>Asia</v>
      </c>
      <c r="I119" s="430">
        <f t="shared" si="5"/>
        <v>2.6928641663820763</v>
      </c>
    </row>
    <row r="120" spans="3:9">
      <c r="C120" s="440" t="s">
        <v>459</v>
      </c>
      <c r="D120" s="438">
        <v>1.1294900000000001</v>
      </c>
      <c r="E120" s="438">
        <v>0.30281000000000002</v>
      </c>
      <c r="F120" s="438">
        <v>0.122429440333495</v>
      </c>
      <c r="G120" s="439">
        <f t="shared" si="3"/>
        <v>2.7936161920559552</v>
      </c>
      <c r="H120" t="str">
        <f>VLOOKUP(C120,'11.Region'!$B$22:$E$243,4,FALSE)</f>
        <v>Asia</v>
      </c>
      <c r="I120" s="430">
        <f t="shared" si="5"/>
        <v>2.7936161920559552</v>
      </c>
    </row>
    <row r="121" spans="3:9">
      <c r="C121" s="440" t="s">
        <v>283</v>
      </c>
      <c r="D121" s="438">
        <v>1.1294900000000001</v>
      </c>
      <c r="E121" s="438">
        <v>79.938900000000004</v>
      </c>
      <c r="F121" s="438">
        <v>31.013712346941801</v>
      </c>
      <c r="G121" s="439">
        <f t="shared" si="3"/>
        <v>2.911298949024506</v>
      </c>
      <c r="H121" t="str">
        <f>VLOOKUP(C121,'11.Region'!$B$22:$E$243,4,FALSE)</f>
        <v>Asia</v>
      </c>
      <c r="I121" s="430">
        <f t="shared" si="5"/>
        <v>2.911298949024506</v>
      </c>
    </row>
    <row r="122" spans="3:9">
      <c r="C122" s="440" t="s">
        <v>581</v>
      </c>
      <c r="D122" s="438">
        <v>1.1294900000000001</v>
      </c>
      <c r="E122" s="438">
        <v>3.7478600000000002</v>
      </c>
      <c r="F122" s="438">
        <v>1.44588687728558</v>
      </c>
      <c r="G122" s="439">
        <f t="shared" si="3"/>
        <v>2.9277327693485242</v>
      </c>
      <c r="H122" t="str">
        <f>VLOOKUP(C122,'11.Region'!$B$22:$E$243,4,FALSE)</f>
        <v>Asia</v>
      </c>
      <c r="I122" s="430">
        <f t="shared" si="5"/>
        <v>2.9277327693485242</v>
      </c>
    </row>
    <row r="123" spans="3:9">
      <c r="C123" s="440" t="s">
        <v>385</v>
      </c>
      <c r="D123" s="438">
        <v>1.1294900000000001</v>
      </c>
      <c r="E123" s="438">
        <v>2.4919799999999999</v>
      </c>
      <c r="F123" s="438">
        <v>0.95660210293676895</v>
      </c>
      <c r="G123" s="439">
        <f t="shared" si="3"/>
        <v>2.9423586688331254</v>
      </c>
      <c r="H123" t="str">
        <f>VLOOKUP(C123,'11.Region'!$B$22:$E$243,4,FALSE)</f>
        <v>Asia</v>
      </c>
      <c r="I123" s="430">
        <f t="shared" si="5"/>
        <v>2.9423586688331254</v>
      </c>
    </row>
    <row r="124" spans="3:9">
      <c r="C124" s="440" t="s">
        <v>641</v>
      </c>
      <c r="D124" s="438">
        <v>1.1294900000000001</v>
      </c>
      <c r="E124" s="438">
        <v>3.6432799999999999</v>
      </c>
      <c r="F124" s="438">
        <v>1.37744</v>
      </c>
      <c r="G124" s="439">
        <f t="shared" si="3"/>
        <v>2.9874610343826231</v>
      </c>
      <c r="H124" t="str">
        <f>VLOOKUP(C124,'11.Region'!$B$22:$E$243,4,FALSE)</f>
        <v>Asia</v>
      </c>
      <c r="I124" s="430">
        <f t="shared" si="5"/>
        <v>2.9874610343826231</v>
      </c>
    </row>
    <row r="125" spans="3:9">
      <c r="C125" s="440" t="s">
        <v>545</v>
      </c>
      <c r="D125" s="438">
        <v>1.1294900000000001</v>
      </c>
      <c r="E125" s="438">
        <v>0.38381999999999999</v>
      </c>
      <c r="F125" s="438">
        <v>0.144557583109135</v>
      </c>
      <c r="G125" s="439">
        <f t="shared" si="3"/>
        <v>2.9989492247716245</v>
      </c>
      <c r="H125" t="str">
        <f>VLOOKUP(C125,'11.Region'!$B$22:$E$243,4,FALSE)</f>
        <v>Asia</v>
      </c>
      <c r="I125" s="430">
        <f t="shared" si="5"/>
        <v>2.9989492247716245</v>
      </c>
    </row>
    <row r="126" spans="3:9">
      <c r="C126" s="440" t="s">
        <v>627</v>
      </c>
      <c r="D126" s="438">
        <v>1.1294900000000001</v>
      </c>
      <c r="E126" s="438">
        <v>33.867040000000003</v>
      </c>
      <c r="F126" s="438">
        <v>12.5230239086361</v>
      </c>
      <c r="G126" s="439">
        <f t="shared" si="3"/>
        <v>3.0545723851265998</v>
      </c>
      <c r="H126" t="str">
        <f>VLOOKUP(C126,'11.Region'!$B$22:$E$243,4,FALSE)</f>
        <v>Asia</v>
      </c>
      <c r="I126" s="430">
        <f t="shared" si="5"/>
        <v>3.0545723851265998</v>
      </c>
    </row>
    <row r="127" spans="3:9">
      <c r="C127" s="440" t="s">
        <v>305</v>
      </c>
      <c r="D127" s="438">
        <v>1.1294900000000001</v>
      </c>
      <c r="E127" s="438">
        <v>1.3677900000000001</v>
      </c>
      <c r="F127" s="438">
        <v>0.49554020132565302</v>
      </c>
      <c r="G127" s="439">
        <f t="shared" si="3"/>
        <v>3.1176181528100453</v>
      </c>
      <c r="H127" t="str">
        <f>VLOOKUP(C127,'11.Region'!$B$22:$E$243,4,FALSE)</f>
        <v>Asia</v>
      </c>
      <c r="I127" s="430">
        <f t="shared" si="5"/>
        <v>3.1176181528100453</v>
      </c>
    </row>
    <row r="128" spans="3:9">
      <c r="C128" s="440" t="s">
        <v>461</v>
      </c>
      <c r="D128" s="438">
        <v>1.1294900000000001</v>
      </c>
      <c r="E128" s="438">
        <v>8103.4088199999997</v>
      </c>
      <c r="F128" s="438">
        <v>2922.0796716975501</v>
      </c>
      <c r="G128" s="439">
        <f t="shared" si="3"/>
        <v>3.1322620381478607</v>
      </c>
      <c r="H128" t="str">
        <f>VLOOKUP(C128,'11.Region'!$B$22:$E$243,4,FALSE)</f>
        <v>Asia</v>
      </c>
      <c r="I128" s="430">
        <f t="shared" si="5"/>
        <v>3.1322620381478607</v>
      </c>
    </row>
    <row r="129" spans="3:9">
      <c r="C129" s="440" t="s">
        <v>553</v>
      </c>
      <c r="D129" s="438">
        <v>1.1294900000000001</v>
      </c>
      <c r="E129" s="438">
        <v>50.324579999999997</v>
      </c>
      <c r="F129" s="438">
        <v>18.057989462174302</v>
      </c>
      <c r="G129" s="439">
        <f t="shared" si="3"/>
        <v>3.1476986949883816</v>
      </c>
      <c r="H129" t="str">
        <f>VLOOKUP(C129,'11.Region'!$B$22:$E$243,4,FALSE)</f>
        <v>Asia</v>
      </c>
      <c r="I129" s="430">
        <f t="shared" si="5"/>
        <v>3.1476986949883816</v>
      </c>
    </row>
    <row r="130" spans="3:9">
      <c r="C130" s="440" t="s">
        <v>451</v>
      </c>
      <c r="D130" s="438">
        <v>1.1294900000000001</v>
      </c>
      <c r="E130" s="438">
        <v>3982.2845499999999</v>
      </c>
      <c r="F130" s="438">
        <v>1401.31376937768</v>
      </c>
      <c r="G130" s="439">
        <f t="shared" si="3"/>
        <v>3.2098097333169209</v>
      </c>
      <c r="H130" t="str">
        <f>VLOOKUP(C130,'11.Region'!$B$22:$E$243,4,FALSE)</f>
        <v>Asia</v>
      </c>
      <c r="I130" s="430">
        <f t="shared" si="5"/>
        <v>3.2098097333169209</v>
      </c>
    </row>
    <row r="131" spans="3:9">
      <c r="C131" s="440" t="s">
        <v>665</v>
      </c>
      <c r="D131" s="438">
        <v>1.1294900000000001</v>
      </c>
      <c r="E131" s="438">
        <v>22456.299630000001</v>
      </c>
      <c r="F131" s="438">
        <v>7735.7139795257399</v>
      </c>
      <c r="G131" s="439">
        <f t="shared" ref="G131:G194" si="6">D131*E131/F131</f>
        <v>3.2788396696440074</v>
      </c>
      <c r="H131" t="str">
        <f>VLOOKUP(C131,'11.Region'!$B$22:$E$243,4,FALSE)</f>
        <v>Asia</v>
      </c>
      <c r="I131" s="430">
        <f t="shared" si="5"/>
        <v>3.2788396696440074</v>
      </c>
    </row>
    <row r="132" spans="3:9">
      <c r="C132" s="440" t="s">
        <v>307</v>
      </c>
      <c r="D132" s="438">
        <v>1.1294900000000001</v>
      </c>
      <c r="E132" s="438">
        <v>65.089330000000004</v>
      </c>
      <c r="F132" s="438">
        <v>22.121183665657799</v>
      </c>
      <c r="G132" s="439">
        <f t="shared" si="6"/>
        <v>3.3234092918740692</v>
      </c>
      <c r="H132" t="str">
        <f>VLOOKUP(C132,'11.Region'!$B$22:$E$243,4,FALSE)</f>
        <v>Asia</v>
      </c>
      <c r="I132" s="430">
        <f t="shared" si="5"/>
        <v>3.3234092918740692</v>
      </c>
    </row>
    <row r="133" spans="3:9">
      <c r="C133" s="440" t="s">
        <v>523</v>
      </c>
      <c r="D133" s="438">
        <v>1.1294900000000001</v>
      </c>
      <c r="E133" s="438">
        <v>4.29819</v>
      </c>
      <c r="F133" s="438">
        <v>1.4531067341180699</v>
      </c>
      <c r="G133" s="439">
        <f t="shared" si="6"/>
        <v>3.3409539086930788</v>
      </c>
      <c r="H133" t="str">
        <f>VLOOKUP(C133,'11.Region'!$B$22:$E$243,4,FALSE)</f>
        <v>Asia</v>
      </c>
      <c r="I133" s="430">
        <f t="shared" si="5"/>
        <v>3.3409539086930788</v>
      </c>
    </row>
    <row r="134" spans="3:9">
      <c r="C134" s="440" t="s">
        <v>445</v>
      </c>
      <c r="D134" s="438">
        <v>1.1294900000000001</v>
      </c>
      <c r="E134" s="438">
        <v>324.40776</v>
      </c>
      <c r="F134" s="438">
        <v>109.09011626749501</v>
      </c>
      <c r="G134" s="439">
        <f t="shared" si="6"/>
        <v>3.3588315181911566</v>
      </c>
      <c r="H134" t="str">
        <f>VLOOKUP(C134,'11.Region'!$B$22:$E$243,4,FALSE)</f>
        <v>Asia</v>
      </c>
      <c r="I134" s="430">
        <f t="shared" si="5"/>
        <v>3.3588315181911566</v>
      </c>
    </row>
    <row r="135" spans="3:9">
      <c r="C135" s="440" t="s">
        <v>449</v>
      </c>
      <c r="D135" s="438">
        <v>1.1294900000000001</v>
      </c>
      <c r="E135" s="438">
        <v>68.863680000000002</v>
      </c>
      <c r="F135" s="438">
        <v>22.5484718277065</v>
      </c>
      <c r="G135" s="439">
        <f t="shared" si="6"/>
        <v>3.4494948712057099</v>
      </c>
      <c r="H135" t="str">
        <f>VLOOKUP(C135,'11.Region'!$B$22:$E$243,4,FALSE)</f>
        <v>Asia</v>
      </c>
      <c r="I135" s="430">
        <f t="shared" si="5"/>
        <v>3.4494948712057099</v>
      </c>
    </row>
    <row r="136" spans="3:9">
      <c r="C136" s="440" t="s">
        <v>539</v>
      </c>
      <c r="D136" s="438">
        <v>1.1294900000000001</v>
      </c>
      <c r="E136" s="438">
        <v>102.71526</v>
      </c>
      <c r="F136" s="438">
        <v>33.072737850539703</v>
      </c>
      <c r="G136" s="439">
        <f t="shared" si="6"/>
        <v>3.5079000577965997</v>
      </c>
      <c r="H136" t="str">
        <f>VLOOKUP(C136,'11.Region'!$B$22:$E$243,4,FALSE)</f>
        <v>Asia</v>
      </c>
      <c r="I136" s="430">
        <f t="shared" si="5"/>
        <v>3.5079000577965997</v>
      </c>
    </row>
    <row r="137" spans="3:9">
      <c r="C137" s="440" t="s">
        <v>473</v>
      </c>
      <c r="D137" s="438">
        <v>1.1294900000000001</v>
      </c>
      <c r="E137" s="438">
        <v>150.55942999999999</v>
      </c>
      <c r="F137" s="438">
        <v>48.374933421256799</v>
      </c>
      <c r="G137" s="439">
        <f t="shared" si="6"/>
        <v>3.5153613362075382</v>
      </c>
      <c r="H137" t="str">
        <f>VLOOKUP(C137,'11.Region'!$B$22:$E$243,4,FALSE)</f>
        <v>Asia</v>
      </c>
      <c r="I137" s="430">
        <f t="shared" si="5"/>
        <v>3.5153613362075382</v>
      </c>
    </row>
    <row r="138" spans="3:9">
      <c r="C138" s="440" t="s">
        <v>633</v>
      </c>
      <c r="D138" s="438">
        <v>1.1294900000000001</v>
      </c>
      <c r="E138" s="438">
        <v>1</v>
      </c>
      <c r="F138" s="438">
        <v>0.31599165515782301</v>
      </c>
      <c r="G138" s="439">
        <f t="shared" si="6"/>
        <v>3.5744298356102879</v>
      </c>
      <c r="H138" t="str">
        <f>VLOOKUP(C138,'11.Region'!$B$22:$E$243,4,FALSE)</f>
        <v>Asia</v>
      </c>
      <c r="I138" s="430">
        <f t="shared" si="5"/>
        <v>3.5744298356102879</v>
      </c>
    </row>
    <row r="139" spans="3:9">
      <c r="C139" s="440" t="s">
        <v>421</v>
      </c>
      <c r="D139" s="438">
        <v>1.1294900000000001</v>
      </c>
      <c r="E139" s="438">
        <v>13337.40336</v>
      </c>
      <c r="F139" s="438">
        <v>4190.4924702696098</v>
      </c>
      <c r="G139" s="439">
        <f t="shared" si="6"/>
        <v>3.5949148764649079</v>
      </c>
      <c r="H139" t="str">
        <f>VLOOKUP(C139,'11.Region'!$B$22:$E$243,4,FALSE)</f>
        <v>Asia</v>
      </c>
      <c r="I139" s="430">
        <f t="shared" si="5"/>
        <v>3.5949148764649079</v>
      </c>
    </row>
    <row r="140" spans="3:9">
      <c r="C140" s="440" t="s">
        <v>431</v>
      </c>
      <c r="D140" s="438">
        <v>1.1294900000000001</v>
      </c>
      <c r="E140" s="438">
        <v>1155.55961</v>
      </c>
      <c r="F140" s="438">
        <v>355.05913105779302</v>
      </c>
      <c r="G140" s="439">
        <f t="shared" si="6"/>
        <v>3.6759877714184279</v>
      </c>
      <c r="H140" t="str">
        <f>VLOOKUP(C140,'11.Region'!$B$22:$E$243,4,FALSE)</f>
        <v>Asia</v>
      </c>
      <c r="I140" s="430">
        <f t="shared" si="5"/>
        <v>3.6759877714184279</v>
      </c>
    </row>
    <row r="141" spans="3:9">
      <c r="C141" s="440" t="s">
        <v>247</v>
      </c>
      <c r="D141" s="438">
        <v>1.1294900000000001</v>
      </c>
      <c r="E141" s="438">
        <v>67.553380000000004</v>
      </c>
      <c r="F141" s="438">
        <v>20.205050824669598</v>
      </c>
      <c r="G141" s="439">
        <f t="shared" si="6"/>
        <v>3.7763264165136152</v>
      </c>
      <c r="H141" t="str">
        <f>VLOOKUP(C141,'11.Region'!$B$22:$E$243,4,FALSE)</f>
        <v>Asia</v>
      </c>
      <c r="I141" s="430">
        <f t="shared" si="5"/>
        <v>3.7763264165136152</v>
      </c>
    </row>
    <row r="142" spans="3:9">
      <c r="C142" s="440" t="s">
        <v>511</v>
      </c>
      <c r="D142" s="438">
        <v>1.1294900000000001</v>
      </c>
      <c r="E142" s="438">
        <v>2431.0014999999999</v>
      </c>
      <c r="F142" s="438">
        <v>701.02300204035203</v>
      </c>
      <c r="G142" s="439">
        <f t="shared" si="6"/>
        <v>3.9168356476795716</v>
      </c>
      <c r="H142" t="str">
        <f>VLOOKUP(C142,'11.Region'!$B$22:$E$243,4,FALSE)</f>
        <v>Asia</v>
      </c>
      <c r="I142" s="430">
        <f t="shared" si="5"/>
        <v>3.9168356476795716</v>
      </c>
    </row>
    <row r="143" spans="3:9">
      <c r="C143" s="440" t="s">
        <v>547</v>
      </c>
      <c r="D143" s="438">
        <v>1.1294900000000001</v>
      </c>
      <c r="E143" s="438">
        <v>104.36447</v>
      </c>
      <c r="F143" s="438">
        <v>29.3509185684774</v>
      </c>
      <c r="G143" s="439">
        <f t="shared" si="6"/>
        <v>4.0161818085959498</v>
      </c>
      <c r="H143" t="str">
        <f>VLOOKUP(C143,'11.Region'!$B$22:$E$243,4,FALSE)</f>
        <v>Asia</v>
      </c>
      <c r="I143" s="430">
        <f t="shared" si="5"/>
        <v>4.0161818085959498</v>
      </c>
    </row>
    <row r="144" spans="3:9">
      <c r="C144" s="440" t="s">
        <v>425</v>
      </c>
      <c r="D144" s="438">
        <v>1.1294900000000001</v>
      </c>
      <c r="E144" s="438">
        <v>65.048370000000006</v>
      </c>
      <c r="F144" s="438">
        <v>17.729170233043401</v>
      </c>
      <c r="G144" s="439">
        <f t="shared" si="6"/>
        <v>4.1441016395885688</v>
      </c>
      <c r="H144" t="str">
        <f>VLOOKUP(C144,'11.Region'!$B$22:$E$243,4,FALSE)</f>
        <v>Asia</v>
      </c>
      <c r="I144" s="430">
        <f t="shared" si="5"/>
        <v>4.1441016395885688</v>
      </c>
    </row>
    <row r="145" spans="3:12">
      <c r="C145" s="440" t="s">
        <v>429</v>
      </c>
      <c r="D145" s="438">
        <v>1.1294900000000001</v>
      </c>
      <c r="E145" s="438">
        <v>32929.177250000001</v>
      </c>
      <c r="F145" s="438">
        <v>8720.1654729431993</v>
      </c>
      <c r="G145" s="439">
        <f t="shared" si="6"/>
        <v>4.2651915869606993</v>
      </c>
      <c r="H145" t="str">
        <f>VLOOKUP(C145,'11.Region'!$B$22:$E$243,4,FALSE)</f>
        <v>Asia</v>
      </c>
      <c r="I145" s="430">
        <f t="shared" si="5"/>
        <v>4.2651915869606993</v>
      </c>
    </row>
    <row r="146" spans="3:12">
      <c r="C146" s="440" t="s">
        <v>629</v>
      </c>
      <c r="D146" s="438">
        <v>1.1294900000000001</v>
      </c>
      <c r="E146" s="438">
        <v>8.4917400000000001</v>
      </c>
      <c r="F146" s="438">
        <v>2.1532039924397401</v>
      </c>
      <c r="G146" s="439">
        <f t="shared" si="6"/>
        <v>4.4544480905092065</v>
      </c>
      <c r="H146" t="str">
        <f>VLOOKUP(C146,'11.Region'!$B$22:$E$243,4,FALSE)</f>
        <v>Asia</v>
      </c>
      <c r="I146" s="430">
        <f t="shared" si="5"/>
        <v>4.4544480905092065</v>
      </c>
    </row>
    <row r="147" spans="3:12">
      <c r="C147" s="440" t="s">
        <v>273</v>
      </c>
      <c r="D147" s="438">
        <v>1.1294900000000001</v>
      </c>
      <c r="E147" s="438">
        <v>1.71207</v>
      </c>
      <c r="F147" s="438">
        <v>0.40874092310211901</v>
      </c>
      <c r="G147" s="439">
        <f t="shared" si="6"/>
        <v>4.7310309171486411</v>
      </c>
      <c r="H147" t="str">
        <f>VLOOKUP(C147,'11.Region'!$B$22:$E$243,4,FALSE)</f>
        <v>Asia</v>
      </c>
      <c r="I147" s="430">
        <f t="shared" si="5"/>
        <v>4.7310309171486411</v>
      </c>
    </row>
    <row r="148" spans="3:12">
      <c r="C148" s="440" t="s">
        <v>655</v>
      </c>
      <c r="D148" s="438">
        <v>1.1294900000000001</v>
      </c>
      <c r="E148" s="438">
        <v>5070.3450800000001</v>
      </c>
      <c r="F148" s="438">
        <v>1120.52942618577</v>
      </c>
      <c r="G148" s="439">
        <f t="shared" si="6"/>
        <v>5.110891272086727</v>
      </c>
      <c r="H148" t="str">
        <f>VLOOKUP(C148,'11.Region'!$B$22:$E$243,4,FALSE)</f>
        <v>Asia</v>
      </c>
      <c r="I148" s="430">
        <f t="shared" si="5"/>
        <v>5.110891272086727</v>
      </c>
    </row>
    <row r="149" spans="3:12">
      <c r="C149" s="440" t="s">
        <v>507</v>
      </c>
      <c r="D149" s="438">
        <v>1.1294900000000001</v>
      </c>
      <c r="E149" s="438">
        <v>1342.9090000000001</v>
      </c>
      <c r="F149" s="438">
        <v>285.35266000155099</v>
      </c>
      <c r="G149" s="439">
        <f t="shared" si="6"/>
        <v>5.315535822941885</v>
      </c>
      <c r="H149" t="str">
        <f>VLOOKUP(C149,'11.Region'!$B$22:$E$243,4,FALSE)</f>
        <v>Asia</v>
      </c>
      <c r="I149" s="430">
        <f t="shared" si="5"/>
        <v>5.315535822941885</v>
      </c>
    </row>
    <row r="150" spans="3:12">
      <c r="C150" s="440" t="s">
        <v>563</v>
      </c>
      <c r="D150" s="438">
        <v>1.1294900000000001</v>
      </c>
      <c r="G150" s="439" t="e">
        <f t="shared" si="6"/>
        <v>#DIV/0!</v>
      </c>
      <c r="H150" t="str">
        <f>VLOOKUP(C150,'11.Region'!$B$22:$E$243,4,FALSE)</f>
        <v>Asia</v>
      </c>
      <c r="I150" s="430">
        <f>$K$103</f>
        <v>3.0027294367224551</v>
      </c>
      <c r="J150" t="s">
        <v>244</v>
      </c>
    </row>
    <row r="151" spans="3:12">
      <c r="C151" s="440" t="s">
        <v>619</v>
      </c>
      <c r="D151" s="438">
        <v>1.1294900000000001</v>
      </c>
      <c r="G151" s="439" t="e">
        <f t="shared" si="6"/>
        <v>#DIV/0!</v>
      </c>
      <c r="H151" t="str">
        <f>VLOOKUP(C151,'11.Region'!$B$22:$E$243,4,FALSE)</f>
        <v>Asia</v>
      </c>
      <c r="I151" s="430">
        <f>$K$103</f>
        <v>3.0027294367224551</v>
      </c>
      <c r="J151" t="s">
        <v>244</v>
      </c>
    </row>
    <row r="152" spans="3:12">
      <c r="C152" s="440" t="s">
        <v>673</v>
      </c>
      <c r="D152" s="438">
        <v>1.1294900000000001</v>
      </c>
      <c r="F152" s="438">
        <v>0</v>
      </c>
      <c r="G152" s="439" t="e">
        <f t="shared" si="6"/>
        <v>#DIV/0!</v>
      </c>
      <c r="H152" t="str">
        <f>VLOOKUP(C152,'11.Region'!$B$22:$E$243,4,FALSE)</f>
        <v>Asia</v>
      </c>
      <c r="I152" s="430">
        <f>$K$103</f>
        <v>3.0027294367224551</v>
      </c>
      <c r="J152" t="s">
        <v>244</v>
      </c>
    </row>
    <row r="153" spans="3:12">
      <c r="C153" s="440" t="s">
        <v>537</v>
      </c>
      <c r="D153" s="438">
        <v>1.1294900000000001</v>
      </c>
      <c r="E153" s="438">
        <v>8.2649399999999993</v>
      </c>
      <c r="F153" s="438">
        <v>10.242149</v>
      </c>
      <c r="G153" s="439">
        <f t="shared" si="6"/>
        <v>0.91144613113908035</v>
      </c>
      <c r="H153" t="str">
        <f>VLOOKUP(C153,'11.Region'!$B$22:$E$243,4,FALSE)</f>
        <v>Europe</v>
      </c>
      <c r="I153" s="430">
        <f>G153</f>
        <v>0.91144613113908035</v>
      </c>
      <c r="K153" s="429">
        <f>AVERAGE(G153:G193)</f>
        <v>1.9328616451977572</v>
      </c>
      <c r="L153" s="427" t="s">
        <v>254</v>
      </c>
    </row>
    <row r="154" spans="3:12">
      <c r="C154" s="440" t="s">
        <v>559</v>
      </c>
      <c r="D154" s="438">
        <v>1.1294900000000001</v>
      </c>
      <c r="E154" s="438">
        <v>3.7740800000000001</v>
      </c>
      <c r="F154" s="438">
        <v>1.7820419999999999</v>
      </c>
      <c r="G154" s="439">
        <f t="shared" si="6"/>
        <v>2.3920792098053809</v>
      </c>
      <c r="H154" t="str">
        <f>VLOOKUP(C154,'11.Region'!$B$22:$E$243,4,FALSE)</f>
        <v>Europe</v>
      </c>
      <c r="I154" s="430">
        <f t="shared" ref="I154:I193" si="7">G154</f>
        <v>2.3920792098053809</v>
      </c>
    </row>
    <row r="155" spans="3:12">
      <c r="C155" s="440" t="s">
        <v>505</v>
      </c>
      <c r="D155" s="438">
        <v>1.1294900000000001</v>
      </c>
      <c r="E155" s="438">
        <v>0.38078000000000001</v>
      </c>
      <c r="F155" s="438">
        <v>0.60482899579581295</v>
      </c>
      <c r="G155" s="439">
        <f t="shared" si="6"/>
        <v>0.71108892792764722</v>
      </c>
      <c r="H155" t="str">
        <f>VLOOKUP(C155,'11.Region'!$B$22:$E$243,4,FALSE)</f>
        <v>Europe</v>
      </c>
      <c r="I155" s="430">
        <f t="shared" si="7"/>
        <v>0.71108892792764722</v>
      </c>
    </row>
    <row r="156" spans="3:12">
      <c r="C156" s="440" t="s">
        <v>433</v>
      </c>
      <c r="D156" s="438">
        <v>1.1294900000000001</v>
      </c>
      <c r="E156" s="438">
        <v>106.39519</v>
      </c>
      <c r="F156" s="438">
        <v>139.86222599999999</v>
      </c>
      <c r="G156" s="439">
        <f t="shared" si="6"/>
        <v>0.8592191515177231</v>
      </c>
      <c r="H156" t="str">
        <f>VLOOKUP(C156,'11.Region'!$B$22:$E$243,4,FALSE)</f>
        <v>Europe</v>
      </c>
      <c r="I156" s="430">
        <f t="shared" si="7"/>
        <v>0.8592191515177231</v>
      </c>
    </row>
    <row r="157" spans="3:12">
      <c r="C157" s="440" t="s">
        <v>315</v>
      </c>
      <c r="D157" s="438">
        <v>1.1294900000000001</v>
      </c>
      <c r="E157" s="438">
        <v>0.98443000000000003</v>
      </c>
      <c r="F157" s="438">
        <v>1.21468</v>
      </c>
      <c r="G157" s="439">
        <f t="shared" si="6"/>
        <v>0.9153882839101658</v>
      </c>
      <c r="H157" t="str">
        <f>VLOOKUP(C157,'11.Region'!$B$22:$E$243,4,FALSE)</f>
        <v>Europe</v>
      </c>
      <c r="I157" s="430">
        <f t="shared" si="7"/>
        <v>0.9153882839101658</v>
      </c>
    </row>
    <row r="158" spans="3:12">
      <c r="C158" s="440" t="s">
        <v>353</v>
      </c>
      <c r="D158" s="438">
        <v>1.1294900000000001</v>
      </c>
      <c r="E158" s="433">
        <v>6.5973600000000001</v>
      </c>
      <c r="F158" s="438">
        <v>7.3562820000000002</v>
      </c>
      <c r="G158" s="439">
        <f t="shared" si="6"/>
        <v>1.0129644494868468</v>
      </c>
      <c r="H158" t="str">
        <f>VLOOKUP(C158,'11.Region'!$B$22:$E$243,4,FALSE)</f>
        <v>Europe</v>
      </c>
      <c r="I158" s="430">
        <f t="shared" si="7"/>
        <v>1.0129644494868468</v>
      </c>
    </row>
    <row r="159" spans="3:12">
      <c r="C159" s="440" t="s">
        <v>611</v>
      </c>
      <c r="D159" s="438">
        <v>1.1294900000000001</v>
      </c>
      <c r="E159" s="438">
        <v>8.5409500000000005</v>
      </c>
      <c r="F159" s="438">
        <v>9.1246550000000006</v>
      </c>
      <c r="G159" s="439">
        <f t="shared" si="6"/>
        <v>1.0572364232401117</v>
      </c>
      <c r="H159" t="str">
        <f>VLOOKUP(C159,'11.Region'!$B$22:$E$243,4,FALSE)</f>
        <v>Europe</v>
      </c>
      <c r="I159" s="430">
        <f t="shared" si="7"/>
        <v>1.0572364232401117</v>
      </c>
    </row>
    <row r="160" spans="3:12">
      <c r="C160" s="440" t="s">
        <v>371</v>
      </c>
      <c r="D160" s="438">
        <v>1.1294900000000001</v>
      </c>
      <c r="E160" s="438">
        <f>1/1.12949</f>
        <v>0.88535533736465122</v>
      </c>
      <c r="F160" s="438">
        <v>0.89744599999999997</v>
      </c>
      <c r="G160" s="439">
        <f t="shared" si="6"/>
        <v>1.1142731707534492</v>
      </c>
      <c r="H160" t="str">
        <f>VLOOKUP(C160,'11.Region'!$B$22:$E$243,4,FALSE)</f>
        <v>Europe</v>
      </c>
      <c r="I160" s="430">
        <f t="shared" si="7"/>
        <v>1.1142731707534492</v>
      </c>
    </row>
    <row r="161" spans="3:9">
      <c r="C161" s="440" t="s">
        <v>479</v>
      </c>
      <c r="D161" s="438">
        <v>1.1294900000000001</v>
      </c>
      <c r="E161" s="438">
        <f>1/1.12949</f>
        <v>0.88535533736465122</v>
      </c>
      <c r="F161" s="438">
        <v>0.89117500000000005</v>
      </c>
      <c r="G161" s="439">
        <f t="shared" si="6"/>
        <v>1.1221140628944932</v>
      </c>
      <c r="H161" t="str">
        <f>VLOOKUP(C161,'11.Region'!$B$22:$E$243,4,FALSE)</f>
        <v>Europe</v>
      </c>
      <c r="I161" s="430">
        <f t="shared" si="7"/>
        <v>1.1221140628944932</v>
      </c>
    </row>
    <row r="162" spans="3:9">
      <c r="C162" s="440" t="s">
        <v>277</v>
      </c>
      <c r="D162" s="438">
        <v>1.1294900000000001</v>
      </c>
      <c r="E162" s="438">
        <f>1/1.12949</f>
        <v>0.88535533736465122</v>
      </c>
      <c r="F162" s="438">
        <v>0.80833900000000003</v>
      </c>
      <c r="G162" s="439">
        <f t="shared" si="6"/>
        <v>1.2371047295750917</v>
      </c>
      <c r="H162" t="str">
        <f>VLOOKUP(C162,'11.Region'!$B$22:$E$243,4,FALSE)</f>
        <v>Europe</v>
      </c>
      <c r="I162" s="430">
        <f t="shared" si="7"/>
        <v>1.2371047295750917</v>
      </c>
    </row>
    <row r="163" spans="3:9">
      <c r="C163" s="440" t="s">
        <v>535</v>
      </c>
      <c r="D163" s="438">
        <v>1.1294900000000001</v>
      </c>
      <c r="E163" s="438">
        <f>1/1.12949</f>
        <v>0.88535533736465122</v>
      </c>
      <c r="F163" s="438">
        <v>0.80831500000000001</v>
      </c>
      <c r="G163" s="439">
        <f t="shared" si="6"/>
        <v>1.2371414609403513</v>
      </c>
      <c r="H163" t="str">
        <f>VLOOKUP(C163,'11.Region'!$B$22:$E$243,4,FALSE)</f>
        <v>Europe</v>
      </c>
      <c r="I163" s="430">
        <f t="shared" si="7"/>
        <v>1.2371414609403513</v>
      </c>
    </row>
    <row r="164" spans="3:9">
      <c r="C164" s="440" t="s">
        <v>427</v>
      </c>
      <c r="D164" s="438">
        <v>1.1294900000000001</v>
      </c>
      <c r="E164" s="438">
        <f>1/1.12949</f>
        <v>0.88535533736465122</v>
      </c>
      <c r="F164" s="438">
        <v>0.80629200000000001</v>
      </c>
      <c r="G164" s="439">
        <f t="shared" si="6"/>
        <v>1.2402454693833003</v>
      </c>
      <c r="H164" t="str">
        <f>VLOOKUP(C164,'11.Region'!$B$22:$E$243,4,FALSE)</f>
        <v>Europe</v>
      </c>
      <c r="I164" s="430">
        <f t="shared" si="7"/>
        <v>1.2402454693833003</v>
      </c>
    </row>
    <row r="165" spans="3:9">
      <c r="C165" s="440" t="s">
        <v>383</v>
      </c>
      <c r="D165" s="438">
        <v>1.1294900000000001</v>
      </c>
      <c r="E165" s="438">
        <v>0.77666999999999997</v>
      </c>
      <c r="F165" s="438">
        <v>0.70340199999999997</v>
      </c>
      <c r="G165" s="439">
        <f t="shared" si="6"/>
        <v>1.2471403241674037</v>
      </c>
      <c r="H165" t="str">
        <f>VLOOKUP(C165,'11.Region'!$B$22:$E$243,4,FALSE)</f>
        <v>Europe</v>
      </c>
      <c r="I165" s="430">
        <f t="shared" si="7"/>
        <v>1.2471403241674037</v>
      </c>
    </row>
    <row r="166" spans="3:9">
      <c r="C166" s="440" t="s">
        <v>271</v>
      </c>
      <c r="D166" s="438">
        <v>1.1294900000000001</v>
      </c>
      <c r="E166" s="438">
        <f t="shared" ref="E166:E176" si="8">1/1.12949</f>
        <v>0.88535533736465122</v>
      </c>
      <c r="F166" s="438">
        <v>0.79847500000000005</v>
      </c>
      <c r="G166" s="439">
        <f t="shared" si="6"/>
        <v>1.252387363411503</v>
      </c>
      <c r="H166" t="str">
        <f>VLOOKUP(C166,'11.Region'!$B$22:$E$243,4,FALSE)</f>
        <v>Europe</v>
      </c>
      <c r="I166" s="430">
        <f t="shared" si="7"/>
        <v>1.252387363411503</v>
      </c>
    </row>
    <row r="167" spans="3:9">
      <c r="C167" s="440" t="s">
        <v>375</v>
      </c>
      <c r="D167" s="438">
        <v>1.1294900000000001</v>
      </c>
      <c r="E167" s="438">
        <f t="shared" si="8"/>
        <v>0.88535533736465122</v>
      </c>
      <c r="F167" s="438">
        <v>0.79815199999999997</v>
      </c>
      <c r="G167" s="439">
        <f t="shared" si="6"/>
        <v>1.2528941855686637</v>
      </c>
      <c r="H167" t="str">
        <f>VLOOKUP(C167,'11.Region'!$B$22:$E$243,4,FALSE)</f>
        <v>Europe</v>
      </c>
      <c r="I167" s="430">
        <f t="shared" si="7"/>
        <v>1.2528941855686637</v>
      </c>
    </row>
    <row r="168" spans="3:9">
      <c r="C168" s="440" t="s">
        <v>347</v>
      </c>
      <c r="D168" s="438">
        <v>1.1294900000000001</v>
      </c>
      <c r="E168" s="438">
        <f t="shared" si="8"/>
        <v>0.88535533736465122</v>
      </c>
      <c r="F168" s="438">
        <v>0.77811399999999997</v>
      </c>
      <c r="G168" s="439">
        <f t="shared" si="6"/>
        <v>1.2851587299547367</v>
      </c>
      <c r="H168" t="str">
        <f>VLOOKUP(C168,'11.Region'!$B$22:$E$243,4,FALSE)</f>
        <v>Europe</v>
      </c>
      <c r="I168" s="430">
        <f t="shared" si="7"/>
        <v>1.2851587299547367</v>
      </c>
    </row>
    <row r="169" spans="3:9">
      <c r="C169" s="440" t="s">
        <v>437</v>
      </c>
      <c r="D169" s="438">
        <v>1.1294900000000001</v>
      </c>
      <c r="E169" s="438">
        <f t="shared" si="8"/>
        <v>0.88535533736465122</v>
      </c>
      <c r="F169" s="438">
        <v>0.71213000000000004</v>
      </c>
      <c r="G169" s="439">
        <f t="shared" si="6"/>
        <v>1.4042379902545883</v>
      </c>
      <c r="H169" t="str">
        <f>VLOOKUP(C169,'11.Region'!$B$22:$E$243,4,FALSE)</f>
        <v>Europe</v>
      </c>
      <c r="I169" s="430">
        <f t="shared" si="7"/>
        <v>1.4042379902545883</v>
      </c>
    </row>
    <row r="170" spans="3:9">
      <c r="C170" s="440" t="s">
        <v>595</v>
      </c>
      <c r="D170" s="438">
        <v>1.1294900000000001</v>
      </c>
      <c r="E170" s="438">
        <f t="shared" si="8"/>
        <v>0.88535533736465122</v>
      </c>
      <c r="F170" s="438">
        <v>0.70598973886453797</v>
      </c>
      <c r="G170" s="439">
        <f t="shared" si="6"/>
        <v>1.4164511818660801</v>
      </c>
      <c r="H170" t="str">
        <f>VLOOKUP(C170,'11.Region'!$B$22:$E$243,4,FALSE)</f>
        <v>Europe</v>
      </c>
      <c r="I170" s="430">
        <f t="shared" si="7"/>
        <v>1.4164511818660801</v>
      </c>
    </row>
    <row r="171" spans="3:9">
      <c r="C171" s="440" t="s">
        <v>365</v>
      </c>
      <c r="D171" s="438">
        <v>1.1294900000000001</v>
      </c>
      <c r="E171" s="438">
        <f t="shared" si="8"/>
        <v>0.88535533736465122</v>
      </c>
      <c r="F171" s="438">
        <v>0.65596399999999999</v>
      </c>
      <c r="G171" s="439">
        <f t="shared" si="6"/>
        <v>1.5244739040557105</v>
      </c>
      <c r="H171" t="str">
        <f>VLOOKUP(C171,'11.Region'!$B$22:$E$243,4,FALSE)</f>
        <v>Europe</v>
      </c>
      <c r="I171" s="430">
        <f t="shared" si="7"/>
        <v>1.5244739040557105</v>
      </c>
    </row>
    <row r="172" spans="3:9">
      <c r="C172" s="440" t="s">
        <v>609</v>
      </c>
      <c r="D172" s="438">
        <v>1.1294900000000001</v>
      </c>
      <c r="E172" s="438">
        <f t="shared" si="8"/>
        <v>0.88535533736465122</v>
      </c>
      <c r="F172" s="438">
        <v>0.60170100000000004</v>
      </c>
      <c r="G172" s="439">
        <f t="shared" si="6"/>
        <v>1.6619550241731358</v>
      </c>
      <c r="H172" t="str">
        <f>VLOOKUP(C172,'11.Region'!$B$22:$E$243,4,FALSE)</f>
        <v>Europe</v>
      </c>
      <c r="I172" s="430">
        <f t="shared" si="7"/>
        <v>1.6619550241731358</v>
      </c>
    </row>
    <row r="173" spans="3:9">
      <c r="C173" s="440" t="s">
        <v>399</v>
      </c>
      <c r="D173" s="438">
        <v>1.1294900000000001</v>
      </c>
      <c r="E173" s="438">
        <f t="shared" si="8"/>
        <v>0.88535533736465122</v>
      </c>
      <c r="F173" s="438">
        <v>0.59395399999999998</v>
      </c>
      <c r="G173" s="439">
        <f t="shared" si="6"/>
        <v>1.6836320657828721</v>
      </c>
      <c r="H173" t="str">
        <f>VLOOKUP(C173,'11.Region'!$B$22:$E$243,4,FALSE)</f>
        <v>Europe</v>
      </c>
      <c r="I173" s="430">
        <f t="shared" si="7"/>
        <v>1.6836320657828721</v>
      </c>
    </row>
    <row r="174" spans="3:9">
      <c r="C174" s="440" t="s">
        <v>565</v>
      </c>
      <c r="D174" s="438">
        <v>1.1294900000000001</v>
      </c>
      <c r="E174" s="438">
        <f t="shared" si="8"/>
        <v>0.88535533736465122</v>
      </c>
      <c r="F174" s="438">
        <v>0.58251500000000001</v>
      </c>
      <c r="G174" s="439">
        <f t="shared" si="6"/>
        <v>1.7166939907126855</v>
      </c>
      <c r="H174" t="str">
        <f>VLOOKUP(C174,'11.Region'!$B$22:$E$243,4,FALSE)</f>
        <v>Europe</v>
      </c>
      <c r="I174" s="430">
        <f t="shared" si="7"/>
        <v>1.7166939907126855</v>
      </c>
    </row>
    <row r="175" spans="3:9">
      <c r="C175" s="440" t="s">
        <v>367</v>
      </c>
      <c r="D175" s="438">
        <v>1.1294900000000001</v>
      </c>
      <c r="E175" s="438">
        <f t="shared" si="8"/>
        <v>0.88535533736465122</v>
      </c>
      <c r="F175" s="438">
        <v>0.55269100000000004</v>
      </c>
      <c r="G175" s="439">
        <f t="shared" si="6"/>
        <v>1.8093292635487097</v>
      </c>
      <c r="H175" t="str">
        <f>VLOOKUP(C175,'11.Region'!$B$22:$E$243,4,FALSE)</f>
        <v>Europe</v>
      </c>
      <c r="I175" s="430">
        <f t="shared" si="7"/>
        <v>1.8093292635487097</v>
      </c>
    </row>
    <row r="176" spans="3:9">
      <c r="C176" s="440" t="s">
        <v>481</v>
      </c>
      <c r="D176" s="438">
        <v>1.1294900000000001</v>
      </c>
      <c r="E176" s="438">
        <f t="shared" si="8"/>
        <v>0.88535533736465122</v>
      </c>
      <c r="F176" s="438">
        <v>0.50141909486332803</v>
      </c>
      <c r="G176" s="439">
        <f t="shared" si="6"/>
        <v>1.9943396855928879</v>
      </c>
      <c r="H176" t="str">
        <f>VLOOKUP(C176,'11.Region'!$B$22:$E$243,4,FALSE)</f>
        <v>Europe</v>
      </c>
      <c r="I176" s="430">
        <f t="shared" si="7"/>
        <v>1.9943396855928879</v>
      </c>
    </row>
    <row r="177" spans="3:9">
      <c r="C177" s="440" t="s">
        <v>345</v>
      </c>
      <c r="D177" s="438">
        <v>1.1294900000000001</v>
      </c>
      <c r="E177" s="438">
        <v>23.362030000000001</v>
      </c>
      <c r="F177" s="438">
        <v>12.897748</v>
      </c>
      <c r="G177" s="439">
        <f t="shared" si="6"/>
        <v>2.0458749282975601</v>
      </c>
      <c r="H177" t="str">
        <f>VLOOKUP(C177,'11.Region'!$B$22:$E$243,4,FALSE)</f>
        <v>Europe</v>
      </c>
      <c r="I177" s="430">
        <f t="shared" si="7"/>
        <v>2.0458749282975601</v>
      </c>
    </row>
    <row r="178" spans="3:9">
      <c r="C178" s="440" t="s">
        <v>607</v>
      </c>
      <c r="D178" s="438">
        <v>1.1294900000000001</v>
      </c>
      <c r="E178" s="438">
        <f>1/1.12949</f>
        <v>0.88535533736465122</v>
      </c>
      <c r="F178" s="438">
        <v>0.48652600000000001</v>
      </c>
      <c r="G178" s="439">
        <f t="shared" si="6"/>
        <v>2.0553886123249323</v>
      </c>
      <c r="H178" t="str">
        <f>VLOOKUP(C178,'11.Region'!$B$22:$E$243,4,FALSE)</f>
        <v>Europe</v>
      </c>
      <c r="I178" s="430">
        <f t="shared" si="7"/>
        <v>2.0553886123249323</v>
      </c>
    </row>
    <row r="179" spans="3:9">
      <c r="C179" s="440" t="s">
        <v>415</v>
      </c>
      <c r="D179" s="438">
        <v>1.1294900000000001</v>
      </c>
      <c r="E179" s="438">
        <v>6.6140299999999996</v>
      </c>
      <c r="F179" s="438">
        <v>3.48553992522658</v>
      </c>
      <c r="G179" s="439">
        <f t="shared" si="6"/>
        <v>2.1432779153187802</v>
      </c>
      <c r="H179" t="str">
        <f>VLOOKUP(C179,'11.Region'!$B$22:$E$243,4,FALSE)</f>
        <v>Europe</v>
      </c>
      <c r="I179" s="430">
        <f t="shared" si="7"/>
        <v>2.1432779153187802</v>
      </c>
    </row>
    <row r="180" spans="3:9">
      <c r="C180" s="440" t="s">
        <v>477</v>
      </c>
      <c r="D180" s="438">
        <v>1.1294900000000001</v>
      </c>
      <c r="E180" s="438">
        <f>1/1.12949</f>
        <v>0.88535533736465122</v>
      </c>
      <c r="F180" s="438">
        <v>0.46124147161082901</v>
      </c>
      <c r="G180" s="439">
        <f t="shared" si="6"/>
        <v>2.1680617670991795</v>
      </c>
      <c r="H180" t="str">
        <f>VLOOKUP(C180,'11.Region'!$B$22:$E$243,4,FALSE)</f>
        <v>Europe</v>
      </c>
      <c r="I180" s="430">
        <f t="shared" si="7"/>
        <v>2.1680617670991795</v>
      </c>
    </row>
    <row r="181" spans="3:9">
      <c r="C181" s="440" t="s">
        <v>419</v>
      </c>
      <c r="D181" s="438">
        <v>1.1294900000000001</v>
      </c>
      <c r="E181" s="438">
        <v>274.10039</v>
      </c>
      <c r="F181" s="438">
        <v>137.57606200000001</v>
      </c>
      <c r="G181" s="439">
        <f t="shared" si="6"/>
        <v>2.2503453362482495</v>
      </c>
      <c r="H181" t="str">
        <f>VLOOKUP(C181,'11.Region'!$B$22:$E$243,4,FALSE)</f>
        <v>Europe</v>
      </c>
      <c r="I181" s="430">
        <f t="shared" si="7"/>
        <v>2.2503453362482495</v>
      </c>
    </row>
    <row r="182" spans="3:9">
      <c r="C182" s="440" t="s">
        <v>577</v>
      </c>
      <c r="D182" s="438">
        <v>1.1294900000000001</v>
      </c>
      <c r="E182" s="438">
        <v>58.292389999999997</v>
      </c>
      <c r="F182" s="438">
        <v>24.547936</v>
      </c>
      <c r="G182" s="439">
        <f t="shared" si="6"/>
        <v>2.6821265780186163</v>
      </c>
      <c r="H182" t="str">
        <f>VLOOKUP(C182,'11.Region'!$B$22:$E$243,4,FALSE)</f>
        <v>Europe</v>
      </c>
      <c r="I182" s="430">
        <f t="shared" si="7"/>
        <v>2.6821265780186163</v>
      </c>
    </row>
    <row r="183" spans="3:9">
      <c r="C183" s="440" t="s">
        <v>575</v>
      </c>
      <c r="D183" s="438">
        <v>1.1294900000000001</v>
      </c>
      <c r="E183" s="438">
        <v>4.04725</v>
      </c>
      <c r="F183" s="438">
        <v>1.69586564059295</v>
      </c>
      <c r="G183" s="439">
        <f t="shared" si="6"/>
        <v>2.6955722747597277</v>
      </c>
      <c r="H183" t="str">
        <f>VLOOKUP(C183,'11.Region'!$B$22:$E$243,4,FALSE)</f>
        <v>Europe</v>
      </c>
      <c r="I183" s="430">
        <f t="shared" si="7"/>
        <v>2.6955722747597277</v>
      </c>
    </row>
    <row r="184" spans="3:9">
      <c r="C184" s="440" t="s">
        <v>509</v>
      </c>
      <c r="D184" s="438">
        <v>1.1294900000000001</v>
      </c>
      <c r="E184" s="438">
        <f>1/1.12949</f>
        <v>0.88535533736465122</v>
      </c>
      <c r="F184" s="438">
        <v>0.362693298031742</v>
      </c>
      <c r="G184" s="439">
        <f t="shared" si="6"/>
        <v>2.7571504779018072</v>
      </c>
      <c r="H184" t="str">
        <f>VLOOKUP(C184,'11.Region'!$B$22:$E$243,4,FALSE)</f>
        <v>Europe</v>
      </c>
      <c r="I184" s="430">
        <f t="shared" si="7"/>
        <v>2.7571504779018072</v>
      </c>
    </row>
    <row r="185" spans="3:9">
      <c r="C185" s="440" t="s">
        <v>491</v>
      </c>
      <c r="D185" s="438">
        <v>1.1294900000000001</v>
      </c>
      <c r="E185" s="438">
        <v>18.212900000000001</v>
      </c>
      <c r="F185" s="438">
        <v>7.4344814806391604</v>
      </c>
      <c r="G185" s="439">
        <f t="shared" si="6"/>
        <v>2.7670105137219925</v>
      </c>
      <c r="H185" t="str">
        <f>VLOOKUP(C185,'11.Region'!$B$22:$E$243,4,FALSE)</f>
        <v>Europe</v>
      </c>
      <c r="I185" s="430">
        <f t="shared" si="7"/>
        <v>2.7670105137219925</v>
      </c>
    </row>
    <row r="186" spans="3:9">
      <c r="C186" s="440" t="s">
        <v>291</v>
      </c>
      <c r="D186" s="438">
        <v>1.1294900000000001</v>
      </c>
      <c r="E186" s="438">
        <v>1.73217</v>
      </c>
      <c r="F186" s="438">
        <v>0.69823686009804897</v>
      </c>
      <c r="G186" s="439">
        <f t="shared" si="6"/>
        <v>2.8020129057999972</v>
      </c>
      <c r="H186" t="str">
        <f>VLOOKUP(C186,'11.Region'!$B$22:$E$243,4,FALSE)</f>
        <v>Europe</v>
      </c>
      <c r="I186" s="430">
        <f t="shared" si="7"/>
        <v>2.8020129057999972</v>
      </c>
    </row>
    <row r="187" spans="3:9">
      <c r="C187" s="440" t="s">
        <v>285</v>
      </c>
      <c r="D187" s="438">
        <v>1.1294900000000001</v>
      </c>
      <c r="E187" s="438">
        <v>1.72845</v>
      </c>
      <c r="F187" s="438">
        <v>0.68565121252236705</v>
      </c>
      <c r="G187" s="439">
        <f t="shared" si="6"/>
        <v>2.8473179290648658</v>
      </c>
      <c r="H187" t="str">
        <f>VLOOKUP(C187,'11.Region'!$B$22:$E$243,4,FALSE)</f>
        <v>Europe</v>
      </c>
      <c r="I187" s="430">
        <f t="shared" si="7"/>
        <v>2.8473179290648658</v>
      </c>
    </row>
    <row r="188" spans="3:9">
      <c r="C188" s="440" t="s">
        <v>599</v>
      </c>
      <c r="D188" s="438">
        <v>1.1294900000000001</v>
      </c>
      <c r="E188" s="438">
        <v>107.40031999999999</v>
      </c>
      <c r="F188" s="438">
        <v>42.132570081901598</v>
      </c>
      <c r="G188" s="439">
        <f t="shared" si="6"/>
        <v>2.879187934678324</v>
      </c>
      <c r="H188" t="str">
        <f>VLOOKUP(C188,'11.Region'!$B$22:$E$243,4,FALSE)</f>
        <v>Europe</v>
      </c>
      <c r="I188" s="430">
        <f t="shared" si="7"/>
        <v>2.879187934678324</v>
      </c>
    </row>
    <row r="189" spans="3:9">
      <c r="C189" s="440" t="s">
        <v>253</v>
      </c>
      <c r="D189" s="438">
        <v>1.1294900000000001</v>
      </c>
      <c r="E189" s="438">
        <v>117.69137000000001</v>
      </c>
      <c r="F189" s="438">
        <v>44.960649394102497</v>
      </c>
      <c r="G189" s="439">
        <f t="shared" si="6"/>
        <v>2.9566126666919685</v>
      </c>
      <c r="H189" t="str">
        <f>VLOOKUP(C189,'11.Region'!$B$22:$E$243,4,FALSE)</f>
        <v>Europe</v>
      </c>
      <c r="I189" s="430">
        <f t="shared" si="7"/>
        <v>2.9566126666919685</v>
      </c>
    </row>
    <row r="190" spans="3:9">
      <c r="C190" s="440" t="s">
        <v>501</v>
      </c>
      <c r="D190" s="438">
        <v>1.1294900000000001</v>
      </c>
      <c r="E190" s="438">
        <v>54.245579999999997</v>
      </c>
      <c r="F190" s="438">
        <v>19.533615455381799</v>
      </c>
      <c r="G190" s="439">
        <f t="shared" si="6"/>
        <v>3.1366359337907035</v>
      </c>
      <c r="H190" t="str">
        <f>VLOOKUP(C190,'11.Region'!$B$22:$E$243,4,FALSE)</f>
        <v>Europe</v>
      </c>
      <c r="I190" s="430">
        <f t="shared" si="7"/>
        <v>3.1366359337907035</v>
      </c>
    </row>
    <row r="191" spans="3:9">
      <c r="C191" s="440" t="s">
        <v>671</v>
      </c>
      <c r="D191" s="438">
        <v>1.1294900000000001</v>
      </c>
      <c r="E191" s="438">
        <v>1</v>
      </c>
      <c r="F191" s="438">
        <v>0.32131110295593601</v>
      </c>
      <c r="G191" s="439">
        <f t="shared" si="6"/>
        <v>3.5152535645644845</v>
      </c>
      <c r="H191" t="str">
        <f>VLOOKUP(C191,'11.Region'!$B$22:$E$243,4,FALSE)</f>
        <v>Europe</v>
      </c>
      <c r="I191" s="430">
        <f t="shared" si="7"/>
        <v>3.5152535645644845</v>
      </c>
    </row>
    <row r="192" spans="3:9">
      <c r="C192" s="440" t="s">
        <v>649</v>
      </c>
      <c r="D192" s="438">
        <v>1.1294900000000001</v>
      </c>
      <c r="E192" s="438">
        <v>26.407409999999999</v>
      </c>
      <c r="F192" s="438">
        <v>8.1009795591918206</v>
      </c>
      <c r="G192" s="439">
        <f t="shared" si="6"/>
        <v>3.6818887522135197</v>
      </c>
      <c r="H192" t="str">
        <f>VLOOKUP(C192,'11.Region'!$B$22:$E$243,4,FALSE)</f>
        <v>Europe</v>
      </c>
      <c r="I192" s="430">
        <f t="shared" si="7"/>
        <v>3.6818887522135197</v>
      </c>
    </row>
    <row r="193" spans="3:12">
      <c r="C193" s="440" t="s">
        <v>293</v>
      </c>
      <c r="D193" s="438">
        <v>1.1294900000000001</v>
      </c>
      <c r="E193" s="438">
        <v>1.977391353</v>
      </c>
      <c r="F193" s="438">
        <v>0.58703554471002894</v>
      </c>
      <c r="G193" s="439">
        <f t="shared" si="6"/>
        <v>3.8046141829507074</v>
      </c>
      <c r="H193" t="str">
        <f>VLOOKUP(C193,'11.Region'!$B$22:$E$243,4,FALSE)</f>
        <v>Europe</v>
      </c>
      <c r="I193" s="430">
        <f t="shared" si="7"/>
        <v>3.8046141829507074</v>
      </c>
    </row>
    <row r="194" spans="3:12">
      <c r="C194" s="440" t="s">
        <v>256</v>
      </c>
      <c r="D194" s="438">
        <v>1.1294900000000001</v>
      </c>
      <c r="E194" s="438">
        <f>1/1.12949</f>
        <v>0.88535533736465122</v>
      </c>
      <c r="G194" s="439" t="e">
        <f t="shared" si="6"/>
        <v>#DIV/0!</v>
      </c>
      <c r="H194" t="str">
        <f>VLOOKUP(C194,'11.Region'!$B$22:$E$243,4,FALSE)</f>
        <v>Europe</v>
      </c>
      <c r="I194" s="430">
        <f t="shared" ref="I194:I199" si="9">$K$153</f>
        <v>1.9328616451977572</v>
      </c>
      <c r="J194" t="s">
        <v>244</v>
      </c>
    </row>
    <row r="195" spans="3:12">
      <c r="C195" s="440" t="s">
        <v>377</v>
      </c>
      <c r="D195" s="438">
        <v>1.1294900000000001</v>
      </c>
      <c r="G195" s="439" t="e">
        <f t="shared" ref="G195:G258" si="10">D195*E195/F195</f>
        <v>#DIV/0!</v>
      </c>
      <c r="H195" t="str">
        <f>VLOOKUP(C195,'11.Region'!$B$22:$E$243,4,FALSE)</f>
        <v>Europe</v>
      </c>
      <c r="I195" s="430">
        <f t="shared" si="9"/>
        <v>1.9328616451977572</v>
      </c>
      <c r="J195" t="s">
        <v>244</v>
      </c>
    </row>
    <row r="196" spans="3:12">
      <c r="C196" s="440" t="s">
        <v>389</v>
      </c>
      <c r="D196" s="438">
        <v>1.1294900000000001</v>
      </c>
      <c r="G196" s="439" t="e">
        <f t="shared" si="10"/>
        <v>#DIV/0!</v>
      </c>
      <c r="H196" t="str">
        <f>VLOOKUP(C196,'11.Region'!$B$22:$E$243,4,FALSE)</f>
        <v>Europe</v>
      </c>
      <c r="I196" s="430">
        <f t="shared" si="9"/>
        <v>1.9328616451977572</v>
      </c>
      <c r="J196" t="s">
        <v>244</v>
      </c>
    </row>
    <row r="197" spans="3:12">
      <c r="C197" s="440" t="s">
        <v>423</v>
      </c>
      <c r="D197" s="438">
        <v>1.1294900000000001</v>
      </c>
      <c r="G197" s="439" t="e">
        <f t="shared" si="10"/>
        <v>#DIV/0!</v>
      </c>
      <c r="H197" t="str">
        <f>VLOOKUP(C197,'11.Region'!$B$22:$E$243,4,FALSE)</f>
        <v>Europe</v>
      </c>
      <c r="I197" s="430">
        <f t="shared" si="9"/>
        <v>1.9328616451977572</v>
      </c>
      <c r="J197" t="s">
        <v>244</v>
      </c>
    </row>
    <row r="198" spans="3:12">
      <c r="C198" s="440" t="s">
        <v>471</v>
      </c>
      <c r="D198" s="438">
        <v>1.1294900000000001</v>
      </c>
      <c r="G198" s="439" t="e">
        <f t="shared" si="10"/>
        <v>#DIV/0!</v>
      </c>
      <c r="H198" t="str">
        <f>VLOOKUP(C198,'11.Region'!$B$22:$E$243,4,FALSE)</f>
        <v>Europe</v>
      </c>
      <c r="I198" s="430">
        <f t="shared" si="9"/>
        <v>1.9328616451977572</v>
      </c>
      <c r="J198" t="s">
        <v>244</v>
      </c>
    </row>
    <row r="199" spans="3:12">
      <c r="C199" s="440" t="s">
        <v>489</v>
      </c>
      <c r="D199" s="438">
        <v>1.1294900000000001</v>
      </c>
      <c r="E199" s="438">
        <f>1/1.12949</f>
        <v>0.88535533736465122</v>
      </c>
      <c r="G199" s="439" t="e">
        <f t="shared" si="10"/>
        <v>#DIV/0!</v>
      </c>
      <c r="H199" t="str">
        <f>VLOOKUP(C199,'11.Region'!$B$22:$E$243,4,FALSE)</f>
        <v>Europe</v>
      </c>
      <c r="I199" s="430">
        <f t="shared" si="9"/>
        <v>1.9328616451977572</v>
      </c>
      <c r="J199" t="s">
        <v>244</v>
      </c>
    </row>
    <row r="200" spans="3:12">
      <c r="C200" s="440" t="s">
        <v>669</v>
      </c>
      <c r="D200" s="438">
        <v>1.1294900000000001</v>
      </c>
      <c r="E200" s="438">
        <v>1</v>
      </c>
      <c r="F200" s="438">
        <v>1.6425069820888001</v>
      </c>
      <c r="G200" s="439">
        <f t="shared" si="10"/>
        <v>0.68766222141936417</v>
      </c>
      <c r="H200" t="str">
        <f>VLOOKUP(C200,'11.Region'!$B$22:$E$243,4,FALSE)</f>
        <v>Oceania</v>
      </c>
      <c r="I200" s="430">
        <f>G200</f>
        <v>0.68766222141936417</v>
      </c>
      <c r="K200" s="429">
        <f>AVERAGE(G200:G213)</f>
        <v>1.3563308370936336</v>
      </c>
      <c r="L200" s="427" t="s">
        <v>265</v>
      </c>
    </row>
    <row r="201" spans="3:12">
      <c r="C201" s="440" t="s">
        <v>269</v>
      </c>
      <c r="D201" s="438">
        <v>1.1294900000000001</v>
      </c>
      <c r="E201" s="438">
        <v>1.30488</v>
      </c>
      <c r="F201" s="438">
        <v>1.5162249999999999</v>
      </c>
      <c r="G201" s="439">
        <f t="shared" si="10"/>
        <v>0.97205158284555404</v>
      </c>
      <c r="H201" t="str">
        <f>VLOOKUP(C201,'11.Region'!$B$22:$E$243,4,FALSE)</f>
        <v>Oceania</v>
      </c>
      <c r="I201" s="430">
        <f t="shared" ref="I201:I213" si="11">G201</f>
        <v>0.97205158284555404</v>
      </c>
    </row>
    <row r="202" spans="3:12">
      <c r="C202" s="440" t="s">
        <v>543</v>
      </c>
      <c r="D202" s="438">
        <v>1.1294900000000001</v>
      </c>
      <c r="E202" s="438">
        <v>1.40717</v>
      </c>
      <c r="F202" s="438">
        <v>1.477015</v>
      </c>
      <c r="G202" s="439">
        <f t="shared" si="10"/>
        <v>1.0760787421251647</v>
      </c>
      <c r="H202" t="str">
        <f>VLOOKUP(C202,'11.Region'!$B$22:$E$243,4,FALSE)</f>
        <v>Oceania</v>
      </c>
      <c r="I202" s="430">
        <f t="shared" si="11"/>
        <v>1.0760787421251647</v>
      </c>
    </row>
    <row r="203" spans="3:12">
      <c r="C203" s="440" t="s">
        <v>667</v>
      </c>
      <c r="D203" s="438">
        <v>1.1294900000000001</v>
      </c>
      <c r="E203" s="435">
        <v>106.12934</v>
      </c>
      <c r="F203" s="438">
        <v>103.3875398947</v>
      </c>
      <c r="G203" s="439">
        <f t="shared" si="10"/>
        <v>1.1594436656360083</v>
      </c>
      <c r="H203" t="str">
        <f>VLOOKUP(C203,'11.Region'!$B$22:$E$243,4,FALSE)</f>
        <v>Oceania</v>
      </c>
      <c r="I203" s="430">
        <f t="shared" si="11"/>
        <v>1.1594436656360083</v>
      </c>
    </row>
    <row r="204" spans="3:12">
      <c r="C204" s="440" t="s">
        <v>555</v>
      </c>
      <c r="D204" s="438">
        <v>1.1294900000000001</v>
      </c>
      <c r="E204" s="438">
        <v>1</v>
      </c>
      <c r="F204" s="438">
        <v>0.92303608227507905</v>
      </c>
      <c r="G204" s="439">
        <f t="shared" si="10"/>
        <v>1.2236683068944152</v>
      </c>
      <c r="H204" t="str">
        <f>VLOOKUP(C204,'11.Region'!$B$22:$E$243,4,FALSE)</f>
        <v>Oceania</v>
      </c>
      <c r="I204" s="430">
        <f t="shared" si="11"/>
        <v>1.2236683068944152</v>
      </c>
    </row>
    <row r="205" spans="3:12">
      <c r="C205" s="440" t="s">
        <v>589</v>
      </c>
      <c r="D205" s="438">
        <v>1.1294900000000001</v>
      </c>
      <c r="E205" s="438">
        <v>7.6467200000000002</v>
      </c>
      <c r="F205" s="438">
        <v>6.9439924666351001</v>
      </c>
      <c r="G205" s="439">
        <f t="shared" si="10"/>
        <v>1.2437936553501536</v>
      </c>
      <c r="H205" t="str">
        <f>VLOOKUP(C205,'11.Region'!$B$22:$E$243,4,FALSE)</f>
        <v>Oceania</v>
      </c>
      <c r="I205" s="430">
        <f t="shared" si="11"/>
        <v>1.2437936553501536</v>
      </c>
    </row>
    <row r="206" spans="3:12">
      <c r="C206" s="440" t="s">
        <v>643</v>
      </c>
      <c r="D206" s="438">
        <v>1.1294900000000001</v>
      </c>
      <c r="E206" s="438">
        <v>1.30488</v>
      </c>
      <c r="F206" s="438">
        <v>1.1716538637777101</v>
      </c>
      <c r="G206" s="439">
        <f t="shared" si="10"/>
        <v>1.2579217777236158</v>
      </c>
      <c r="H206" t="str">
        <f>VLOOKUP(C206,'11.Region'!$B$22:$E$243,4,FALSE)</f>
        <v>Oceania</v>
      </c>
      <c r="I206" s="430">
        <f t="shared" si="11"/>
        <v>1.2579217777236158</v>
      </c>
    </row>
    <row r="207" spans="3:12">
      <c r="C207" s="440" t="s">
        <v>499</v>
      </c>
      <c r="D207" s="438">
        <v>1.1294900000000001</v>
      </c>
      <c r="E207" s="438">
        <v>1</v>
      </c>
      <c r="F207" s="438">
        <v>0.89513946628815699</v>
      </c>
      <c r="G207" s="439">
        <f t="shared" si="10"/>
        <v>1.2618033753819571</v>
      </c>
      <c r="H207" t="str">
        <f>VLOOKUP(C207,'11.Region'!$B$22:$E$243,4,FALSE)</f>
        <v>Oceania</v>
      </c>
      <c r="I207" s="430">
        <f t="shared" si="11"/>
        <v>1.2618033753819571</v>
      </c>
    </row>
    <row r="208" spans="3:12">
      <c r="C208" s="440" t="s">
        <v>379</v>
      </c>
      <c r="D208" s="438">
        <v>1.1294900000000001</v>
      </c>
      <c r="E208" s="438">
        <v>1</v>
      </c>
      <c r="F208" s="438">
        <v>0.87997378175783803</v>
      </c>
      <c r="G208" s="439">
        <f t="shared" si="10"/>
        <v>1.2835496050163311</v>
      </c>
      <c r="H208" t="str">
        <f>VLOOKUP(C208,'11.Region'!$B$22:$E$243,4,FALSE)</f>
        <v>Oceania</v>
      </c>
      <c r="I208" s="430">
        <f t="shared" si="11"/>
        <v>1.2835496050163311</v>
      </c>
    </row>
    <row r="209" spans="3:10">
      <c r="C209" s="440" t="s">
        <v>453</v>
      </c>
      <c r="D209" s="438">
        <v>1.1294900000000001</v>
      </c>
      <c r="E209" s="438">
        <v>1.30488</v>
      </c>
      <c r="F209" s="438">
        <v>1.0109475419466101</v>
      </c>
      <c r="G209" s="439">
        <f t="shared" si="10"/>
        <v>1.4578886144399337</v>
      </c>
      <c r="H209" t="str">
        <f>VLOOKUP(C209,'11.Region'!$B$22:$E$243,4,FALSE)</f>
        <v>Oceania</v>
      </c>
      <c r="I209" s="430">
        <f t="shared" si="11"/>
        <v>1.4578886144399337</v>
      </c>
    </row>
    <row r="210" spans="3:10">
      <c r="C210" s="440" t="s">
        <v>635</v>
      </c>
      <c r="D210" s="438">
        <v>1.1294900000000001</v>
      </c>
      <c r="E210" s="438">
        <v>2.26634</v>
      </c>
      <c r="F210" s="438">
        <v>1.4637274466746699</v>
      </c>
      <c r="G210" s="439">
        <f t="shared" si="10"/>
        <v>1.7488285625957432</v>
      </c>
      <c r="H210" t="str">
        <f>VLOOKUP(C210,'11.Region'!$B$22:$E$243,4,FALSE)</f>
        <v>Oceania</v>
      </c>
      <c r="I210" s="430">
        <f t="shared" si="11"/>
        <v>1.7488285625957432</v>
      </c>
    </row>
    <row r="211" spans="3:10">
      <c r="C211" s="440" t="s">
        <v>557</v>
      </c>
      <c r="D211" s="438">
        <v>1.1294900000000001</v>
      </c>
      <c r="E211" s="438">
        <v>3.12514</v>
      </c>
      <c r="F211" s="438">
        <v>1.9417440991797701</v>
      </c>
      <c r="G211" s="439">
        <f t="shared" si="10"/>
        <v>1.8178576569853162</v>
      </c>
      <c r="H211" t="str">
        <f>VLOOKUP(C211,'11.Region'!$B$22:$E$243,4,FALSE)</f>
        <v>Oceania</v>
      </c>
      <c r="I211" s="430">
        <f t="shared" si="11"/>
        <v>1.8178576569853162</v>
      </c>
    </row>
    <row r="212" spans="3:10">
      <c r="C212" s="440" t="s">
        <v>541</v>
      </c>
      <c r="D212" s="438">
        <v>1.1294900000000001</v>
      </c>
      <c r="E212" s="438">
        <v>1.30488</v>
      </c>
      <c r="F212" s="438">
        <v>0.78142720066812399</v>
      </c>
      <c r="G212" s="439">
        <f t="shared" si="10"/>
        <v>1.8860988073359262</v>
      </c>
      <c r="H212" t="str">
        <f>VLOOKUP(C212,'11.Region'!$B$22:$E$243,4,FALSE)</f>
        <v>Oceania</v>
      </c>
      <c r="I212" s="430">
        <f t="shared" si="11"/>
        <v>1.8860988073359262</v>
      </c>
    </row>
    <row r="213" spans="3:10">
      <c r="C213" s="440" t="s">
        <v>373</v>
      </c>
      <c r="D213" s="438">
        <v>1.1294900000000001</v>
      </c>
      <c r="E213" s="438">
        <v>2.0467900000000001</v>
      </c>
      <c r="F213" s="438">
        <v>1.20912489433657</v>
      </c>
      <c r="G213" s="439">
        <f t="shared" si="10"/>
        <v>1.9119851455613843</v>
      </c>
      <c r="H213" t="str">
        <f>VLOOKUP(C213,'11.Region'!$B$22:$E$243,4,FALSE)</f>
        <v>Oceania</v>
      </c>
      <c r="I213" s="430">
        <f t="shared" si="11"/>
        <v>1.9119851455613843</v>
      </c>
    </row>
    <row r="214" spans="3:10">
      <c r="C214" s="440" t="s">
        <v>264</v>
      </c>
      <c r="D214" s="438">
        <v>1.1294900000000001</v>
      </c>
      <c r="E214" s="438">
        <v>1</v>
      </c>
      <c r="G214" s="439" t="e">
        <f t="shared" si="10"/>
        <v>#DIV/0!</v>
      </c>
      <c r="H214" t="str">
        <f>VLOOKUP(C214,'11.Region'!$B$22:$E$243,4,FALSE)</f>
        <v>Oceania</v>
      </c>
      <c r="I214" s="430">
        <f>$K$200</f>
        <v>1.3563308370936336</v>
      </c>
      <c r="J214" t="s">
        <v>244</v>
      </c>
    </row>
    <row r="215" spans="3:10">
      <c r="C215" s="440" t="s">
        <v>407</v>
      </c>
      <c r="D215" s="438">
        <v>1.1294900000000001</v>
      </c>
      <c r="G215" s="439" t="e">
        <f t="shared" si="10"/>
        <v>#DIV/0!</v>
      </c>
      <c r="H215" t="str">
        <f>VLOOKUP(C215,'11.Region'!$B$22:$E$243,4,FALSE)</f>
        <v>Oceania</v>
      </c>
      <c r="I215" s="430">
        <f>$K$200</f>
        <v>1.3563308370936336</v>
      </c>
      <c r="J215" t="s">
        <v>244</v>
      </c>
    </row>
    <row r="216" spans="3:10">
      <c r="C216" s="440" t="s">
        <v>513</v>
      </c>
      <c r="D216" s="438">
        <v>1.1294900000000001</v>
      </c>
      <c r="G216" s="439" t="e">
        <f t="shared" si="10"/>
        <v>#DIV/0!</v>
      </c>
      <c r="H216" t="str">
        <f>VLOOKUP(C216,'11.Region'!$B$22:$E$243,4,FALSE)</f>
        <v>Oceania</v>
      </c>
      <c r="I216" s="430">
        <f>$K$200</f>
        <v>1.3563308370936336</v>
      </c>
      <c r="J216" t="s">
        <v>244</v>
      </c>
    </row>
    <row r="217" spans="3:10">
      <c r="C217" s="440" t="s">
        <v>527</v>
      </c>
      <c r="D217" s="438">
        <v>1.1294900000000001</v>
      </c>
      <c r="G217" s="439" t="e">
        <f t="shared" si="10"/>
        <v>#DIV/0!</v>
      </c>
      <c r="H217" t="str">
        <f>VLOOKUP(C217,'11.Region'!$B$22:$E$243,4,FALSE)</f>
        <v>Oceania</v>
      </c>
      <c r="I217" s="430">
        <f>$K$200</f>
        <v>1.3563308370936336</v>
      </c>
      <c r="J217" t="s">
        <v>244</v>
      </c>
    </row>
    <row r="218" spans="3:10">
      <c r="C218" s="440" t="s">
        <v>571</v>
      </c>
      <c r="D218" s="438">
        <v>1.1294900000000001</v>
      </c>
      <c r="G218" s="439" t="e">
        <f t="shared" si="10"/>
        <v>#DIV/0!</v>
      </c>
      <c r="H218" t="str">
        <f>VLOOKUP(C218,'11.Region'!$B$22:$E$243,4,FALSE)</f>
        <v>Oceania</v>
      </c>
      <c r="I218" s="430">
        <f>$K$200</f>
        <v>1.3563308370936336</v>
      </c>
      <c r="J218" t="s">
        <v>244</v>
      </c>
    </row>
    <row r="219" spans="3:10">
      <c r="C219" s="440" t="s">
        <v>3136</v>
      </c>
      <c r="D219" s="438">
        <v>1.1294900000000001</v>
      </c>
      <c r="G219" s="439" t="e">
        <f t="shared" si="10"/>
        <v>#DIV/0!</v>
      </c>
      <c r="H219" t="e">
        <f>VLOOKUP(C219,'11.Region'!$B$22:$E$243,4,FALSE)</f>
        <v>#N/A</v>
      </c>
    </row>
    <row r="220" spans="3:10">
      <c r="C220" s="440" t="s">
        <v>3137</v>
      </c>
      <c r="D220" s="438">
        <v>1.1294900000000001</v>
      </c>
      <c r="G220" s="439" t="e">
        <f t="shared" si="10"/>
        <v>#DIV/0!</v>
      </c>
      <c r="H220" t="e">
        <f>VLOOKUP(C220,'11.Region'!$B$22:$E$243,4,FALSE)</f>
        <v>#N/A</v>
      </c>
    </row>
    <row r="221" spans="3:10">
      <c r="C221" s="440" t="s">
        <v>3138</v>
      </c>
      <c r="D221" s="438">
        <v>1.1294900000000001</v>
      </c>
      <c r="G221" s="439" t="e">
        <f t="shared" si="10"/>
        <v>#DIV/0!</v>
      </c>
      <c r="H221" t="e">
        <f>VLOOKUP(C221,'11.Region'!$B$22:$E$243,4,FALSE)</f>
        <v>#N/A</v>
      </c>
    </row>
    <row r="222" spans="3:10">
      <c r="C222" s="440" t="s">
        <v>3139</v>
      </c>
      <c r="D222" s="438">
        <v>1.1294900000000001</v>
      </c>
      <c r="G222" s="439" t="e">
        <f t="shared" si="10"/>
        <v>#DIV/0!</v>
      </c>
      <c r="H222" t="e">
        <f>VLOOKUP(C222,'11.Region'!$B$22:$E$243,4,FALSE)</f>
        <v>#N/A</v>
      </c>
    </row>
    <row r="223" spans="3:10">
      <c r="C223" s="440" t="s">
        <v>3140</v>
      </c>
      <c r="D223" s="438">
        <v>1.1294900000000001</v>
      </c>
      <c r="G223" s="439" t="e">
        <f t="shared" si="10"/>
        <v>#DIV/0!</v>
      </c>
      <c r="H223" t="e">
        <f>VLOOKUP(C223,'11.Region'!$B$22:$E$243,4,FALSE)</f>
        <v>#N/A</v>
      </c>
    </row>
    <row r="224" spans="3:10">
      <c r="C224" s="440" t="s">
        <v>3141</v>
      </c>
      <c r="D224" s="438">
        <v>1.1294900000000001</v>
      </c>
      <c r="G224" s="439" t="e">
        <f t="shared" si="10"/>
        <v>#DIV/0!</v>
      </c>
      <c r="H224" t="e">
        <f>VLOOKUP(C224,'11.Region'!$B$22:$E$243,4,FALSE)</f>
        <v>#N/A</v>
      </c>
    </row>
    <row r="225" spans="3:8">
      <c r="C225" s="440" t="s">
        <v>3142</v>
      </c>
      <c r="D225" s="438">
        <v>1.1294900000000001</v>
      </c>
      <c r="G225" s="439" t="e">
        <f t="shared" si="10"/>
        <v>#DIV/0!</v>
      </c>
      <c r="H225" t="e">
        <f>VLOOKUP(C225,'11.Region'!$B$22:$E$243,4,FALSE)</f>
        <v>#N/A</v>
      </c>
    </row>
    <row r="226" spans="3:8">
      <c r="C226" s="440" t="s">
        <v>3143</v>
      </c>
      <c r="D226" s="438">
        <v>1.1294900000000001</v>
      </c>
      <c r="G226" s="439" t="e">
        <f t="shared" si="10"/>
        <v>#DIV/0!</v>
      </c>
      <c r="H226" t="e">
        <f>VLOOKUP(C226,'11.Region'!$B$22:$E$243,4,FALSE)</f>
        <v>#N/A</v>
      </c>
    </row>
    <row r="227" spans="3:8">
      <c r="C227" s="440" t="s">
        <v>3144</v>
      </c>
      <c r="D227" s="438">
        <v>1.1294900000000001</v>
      </c>
      <c r="G227" s="439" t="e">
        <f t="shared" si="10"/>
        <v>#DIV/0!</v>
      </c>
      <c r="H227" t="e">
        <f>VLOOKUP(C227,'11.Region'!$B$22:$E$243,4,FALSE)</f>
        <v>#N/A</v>
      </c>
    </row>
    <row r="228" spans="3:8">
      <c r="C228" s="440" t="s">
        <v>3145</v>
      </c>
      <c r="D228" s="438">
        <v>1.1294900000000001</v>
      </c>
      <c r="G228" s="439" t="e">
        <f t="shared" si="10"/>
        <v>#DIV/0!</v>
      </c>
      <c r="H228" t="e">
        <f>VLOOKUP(C228,'11.Region'!$B$22:$E$243,4,FALSE)</f>
        <v>#N/A</v>
      </c>
    </row>
    <row r="229" spans="3:8">
      <c r="C229" s="440" t="s">
        <v>3146</v>
      </c>
      <c r="D229" s="438">
        <v>1.1294900000000001</v>
      </c>
      <c r="G229" s="439" t="e">
        <f t="shared" si="10"/>
        <v>#DIV/0!</v>
      </c>
      <c r="H229" t="e">
        <f>VLOOKUP(C229,'11.Region'!$B$22:$E$243,4,FALSE)</f>
        <v>#N/A</v>
      </c>
    </row>
    <row r="230" spans="3:8">
      <c r="C230" s="440" t="s">
        <v>3147</v>
      </c>
      <c r="D230" s="438">
        <v>1.1294900000000001</v>
      </c>
      <c r="G230" s="439" t="e">
        <f t="shared" si="10"/>
        <v>#DIV/0!</v>
      </c>
      <c r="H230" t="e">
        <f>VLOOKUP(C230,'11.Region'!$B$22:$E$243,4,FALSE)</f>
        <v>#N/A</v>
      </c>
    </row>
    <row r="231" spans="3:8">
      <c r="C231" s="440" t="s">
        <v>3148</v>
      </c>
      <c r="D231" s="438">
        <v>1.1294900000000001</v>
      </c>
      <c r="G231" s="439" t="e">
        <f t="shared" si="10"/>
        <v>#DIV/0!</v>
      </c>
      <c r="H231" t="e">
        <f>VLOOKUP(C231,'11.Region'!$B$22:$E$243,4,FALSE)</f>
        <v>#N/A</v>
      </c>
    </row>
    <row r="232" spans="3:8">
      <c r="C232" s="440" t="s">
        <v>3149</v>
      </c>
      <c r="D232" s="438">
        <v>1.1294900000000001</v>
      </c>
      <c r="G232" s="439" t="e">
        <f t="shared" si="10"/>
        <v>#DIV/0!</v>
      </c>
      <c r="H232" t="e">
        <f>VLOOKUP(C232,'11.Region'!$B$22:$E$243,4,FALSE)</f>
        <v>#N/A</v>
      </c>
    </row>
    <row r="233" spans="3:8">
      <c r="C233" s="440" t="s">
        <v>3150</v>
      </c>
      <c r="D233" s="438">
        <v>1.1294900000000001</v>
      </c>
      <c r="G233" s="439" t="e">
        <f t="shared" si="10"/>
        <v>#DIV/0!</v>
      </c>
      <c r="H233" t="e">
        <f>VLOOKUP(C233,'11.Region'!$B$22:$E$243,4,FALSE)</f>
        <v>#N/A</v>
      </c>
    </row>
    <row r="234" spans="3:8">
      <c r="C234" s="440" t="s">
        <v>3151</v>
      </c>
      <c r="D234" s="438">
        <v>1.1294900000000001</v>
      </c>
      <c r="G234" s="439" t="e">
        <f t="shared" si="10"/>
        <v>#DIV/0!</v>
      </c>
      <c r="H234" t="e">
        <f>VLOOKUP(C234,'11.Region'!$B$22:$E$243,4,FALSE)</f>
        <v>#N/A</v>
      </c>
    </row>
    <row r="235" spans="3:8">
      <c r="C235" s="440" t="s">
        <v>3152</v>
      </c>
      <c r="D235" s="438">
        <v>1.1294900000000001</v>
      </c>
      <c r="G235" s="439" t="e">
        <f t="shared" si="10"/>
        <v>#DIV/0!</v>
      </c>
      <c r="H235" t="e">
        <f>VLOOKUP(C235,'11.Region'!$B$22:$E$243,4,FALSE)</f>
        <v>#N/A</v>
      </c>
    </row>
    <row r="236" spans="3:8">
      <c r="C236" s="440" t="s">
        <v>3153</v>
      </c>
      <c r="D236" s="438">
        <v>1.1294900000000001</v>
      </c>
      <c r="G236" s="439" t="e">
        <f t="shared" si="10"/>
        <v>#DIV/0!</v>
      </c>
      <c r="H236" t="e">
        <f>VLOOKUP(C236,'11.Region'!$B$22:$E$243,4,FALSE)</f>
        <v>#N/A</v>
      </c>
    </row>
    <row r="237" spans="3:8">
      <c r="C237" s="440" t="s">
        <v>3154</v>
      </c>
      <c r="D237" s="438">
        <v>1.1294900000000001</v>
      </c>
      <c r="G237" s="439" t="e">
        <f t="shared" si="10"/>
        <v>#DIV/0!</v>
      </c>
      <c r="H237" t="e">
        <f>VLOOKUP(C237,'11.Region'!$B$22:$E$243,4,FALSE)</f>
        <v>#N/A</v>
      </c>
    </row>
    <row r="238" spans="3:8">
      <c r="C238" s="440" t="s">
        <v>3155</v>
      </c>
      <c r="D238" s="438">
        <v>1.1294900000000001</v>
      </c>
      <c r="G238" s="439" t="e">
        <f t="shared" si="10"/>
        <v>#DIV/0!</v>
      </c>
      <c r="H238" t="e">
        <f>VLOOKUP(C238,'11.Region'!$B$22:$E$243,4,FALSE)</f>
        <v>#N/A</v>
      </c>
    </row>
    <row r="239" spans="3:8">
      <c r="C239" s="440" t="s">
        <v>3156</v>
      </c>
      <c r="D239" s="438">
        <v>1.1294900000000001</v>
      </c>
      <c r="G239" s="439" t="e">
        <f t="shared" si="10"/>
        <v>#DIV/0!</v>
      </c>
      <c r="H239" t="e">
        <f>VLOOKUP(C239,'11.Region'!$B$22:$E$243,4,FALSE)</f>
        <v>#N/A</v>
      </c>
    </row>
    <row r="240" spans="3:8">
      <c r="C240" s="440" t="s">
        <v>3157</v>
      </c>
      <c r="D240" s="438">
        <v>1.1294900000000001</v>
      </c>
      <c r="G240" s="439" t="e">
        <f t="shared" si="10"/>
        <v>#DIV/0!</v>
      </c>
      <c r="H240" t="e">
        <f>VLOOKUP(C240,'11.Region'!$B$22:$E$243,4,FALSE)</f>
        <v>#N/A</v>
      </c>
    </row>
    <row r="241" spans="3:8">
      <c r="C241" s="440" t="s">
        <v>3158</v>
      </c>
      <c r="D241" s="438">
        <v>1.1294900000000001</v>
      </c>
      <c r="G241" s="439" t="e">
        <f t="shared" si="10"/>
        <v>#DIV/0!</v>
      </c>
      <c r="H241" t="e">
        <f>VLOOKUP(C241,'11.Region'!$B$22:$E$243,4,FALSE)</f>
        <v>#N/A</v>
      </c>
    </row>
    <row r="242" spans="3:8">
      <c r="C242" s="440" t="s">
        <v>3159</v>
      </c>
      <c r="D242" s="438">
        <v>1.1294900000000001</v>
      </c>
      <c r="G242" s="439" t="e">
        <f t="shared" si="10"/>
        <v>#DIV/0!</v>
      </c>
      <c r="H242" t="e">
        <f>VLOOKUP(C242,'11.Region'!$B$22:$E$243,4,FALSE)</f>
        <v>#N/A</v>
      </c>
    </row>
    <row r="243" spans="3:8">
      <c r="C243" s="440" t="s">
        <v>3160</v>
      </c>
      <c r="D243" s="438">
        <v>1.1294900000000001</v>
      </c>
      <c r="G243" s="439" t="e">
        <f t="shared" si="10"/>
        <v>#DIV/0!</v>
      </c>
      <c r="H243" t="e">
        <f>VLOOKUP(C243,'11.Region'!$B$22:$E$243,4,FALSE)</f>
        <v>#N/A</v>
      </c>
    </row>
    <row r="244" spans="3:8">
      <c r="C244" s="440" t="s">
        <v>3161</v>
      </c>
      <c r="D244" s="438">
        <v>1.1294900000000001</v>
      </c>
      <c r="G244" s="439" t="e">
        <f t="shared" si="10"/>
        <v>#DIV/0!</v>
      </c>
      <c r="H244" t="e">
        <f>VLOOKUP(C244,'11.Region'!$B$22:$E$243,4,FALSE)</f>
        <v>#N/A</v>
      </c>
    </row>
    <row r="245" spans="3:8">
      <c r="C245" s="440" t="s">
        <v>3162</v>
      </c>
      <c r="D245" s="438">
        <v>1.1294900000000001</v>
      </c>
      <c r="G245" s="439" t="e">
        <f t="shared" si="10"/>
        <v>#DIV/0!</v>
      </c>
      <c r="H245" t="e">
        <f>VLOOKUP(C245,'11.Region'!$B$22:$E$243,4,FALSE)</f>
        <v>#N/A</v>
      </c>
    </row>
    <row r="246" spans="3:8">
      <c r="C246" s="440" t="s">
        <v>3163</v>
      </c>
      <c r="D246" s="438">
        <v>1.1294900000000001</v>
      </c>
      <c r="G246" s="439" t="e">
        <f t="shared" si="10"/>
        <v>#DIV/0!</v>
      </c>
      <c r="H246" t="e">
        <f>VLOOKUP(C246,'11.Region'!$B$22:$E$243,4,FALSE)</f>
        <v>#N/A</v>
      </c>
    </row>
    <row r="247" spans="3:8">
      <c r="C247" s="440" t="s">
        <v>3164</v>
      </c>
      <c r="D247" s="438">
        <v>1.1294900000000001</v>
      </c>
      <c r="G247" s="439" t="e">
        <f t="shared" si="10"/>
        <v>#DIV/0!</v>
      </c>
      <c r="H247" t="e">
        <f>VLOOKUP(C247,'11.Region'!$B$22:$E$243,4,FALSE)</f>
        <v>#N/A</v>
      </c>
    </row>
    <row r="248" spans="3:8">
      <c r="C248" s="440" t="s">
        <v>3165</v>
      </c>
      <c r="D248" s="438">
        <v>1.1294900000000001</v>
      </c>
      <c r="G248" s="439" t="e">
        <f t="shared" si="10"/>
        <v>#DIV/0!</v>
      </c>
      <c r="H248" t="e">
        <f>VLOOKUP(C248,'11.Region'!$B$22:$E$243,4,FALSE)</f>
        <v>#N/A</v>
      </c>
    </row>
    <row r="249" spans="3:8">
      <c r="C249" s="440" t="s">
        <v>3166</v>
      </c>
      <c r="D249" s="438">
        <v>1.1294900000000001</v>
      </c>
      <c r="G249" s="439" t="e">
        <f t="shared" si="10"/>
        <v>#DIV/0!</v>
      </c>
      <c r="H249" t="e">
        <f>VLOOKUP(C249,'11.Region'!$B$22:$E$243,4,FALSE)</f>
        <v>#N/A</v>
      </c>
    </row>
    <row r="250" spans="3:8">
      <c r="C250" s="440" t="s">
        <v>3167</v>
      </c>
      <c r="D250" s="438">
        <v>1.1294900000000001</v>
      </c>
      <c r="G250" s="439" t="e">
        <f t="shared" si="10"/>
        <v>#DIV/0!</v>
      </c>
      <c r="H250" t="e">
        <f>VLOOKUP(C250,'11.Region'!$B$22:$E$243,4,FALSE)</f>
        <v>#N/A</v>
      </c>
    </row>
    <row r="251" spans="3:8">
      <c r="C251" s="440" t="s">
        <v>3168</v>
      </c>
      <c r="D251" s="438">
        <v>1.1294900000000001</v>
      </c>
      <c r="G251" s="439" t="e">
        <f t="shared" si="10"/>
        <v>#DIV/0!</v>
      </c>
      <c r="H251" t="e">
        <f>VLOOKUP(C251,'11.Region'!$B$22:$E$243,4,FALSE)</f>
        <v>#N/A</v>
      </c>
    </row>
    <row r="252" spans="3:8">
      <c r="C252" s="440" t="s">
        <v>3169</v>
      </c>
      <c r="D252" s="438">
        <v>1.1294900000000001</v>
      </c>
      <c r="G252" s="439" t="e">
        <f t="shared" si="10"/>
        <v>#DIV/0!</v>
      </c>
      <c r="H252" t="e">
        <f>VLOOKUP(C252,'11.Region'!$B$22:$E$243,4,FALSE)</f>
        <v>#N/A</v>
      </c>
    </row>
    <row r="253" spans="3:8">
      <c r="C253" s="440" t="s">
        <v>3170</v>
      </c>
      <c r="D253" s="438">
        <v>1.1294900000000001</v>
      </c>
      <c r="G253" s="439" t="e">
        <f t="shared" si="10"/>
        <v>#DIV/0!</v>
      </c>
      <c r="H253" t="e">
        <f>VLOOKUP(C253,'11.Region'!$B$22:$E$243,4,FALSE)</f>
        <v>#N/A</v>
      </c>
    </row>
    <row r="254" spans="3:8">
      <c r="C254" s="440" t="s">
        <v>3171</v>
      </c>
      <c r="D254" s="438">
        <v>1.1294900000000001</v>
      </c>
      <c r="G254" s="439" t="e">
        <f t="shared" si="10"/>
        <v>#DIV/0!</v>
      </c>
      <c r="H254" t="e">
        <f>VLOOKUP(C254,'11.Region'!$B$22:$E$243,4,FALSE)</f>
        <v>#N/A</v>
      </c>
    </row>
    <row r="255" spans="3:8">
      <c r="C255" s="440" t="s">
        <v>3172</v>
      </c>
      <c r="D255" s="438">
        <v>1.1294900000000001</v>
      </c>
      <c r="G255" s="439" t="e">
        <f t="shared" si="10"/>
        <v>#DIV/0!</v>
      </c>
      <c r="H255" t="e">
        <f>VLOOKUP(C255,'11.Region'!$B$22:$E$243,4,FALSE)</f>
        <v>#N/A</v>
      </c>
    </row>
    <row r="256" spans="3:8">
      <c r="C256" s="440" t="s">
        <v>3173</v>
      </c>
      <c r="D256" s="438">
        <v>1.1294900000000001</v>
      </c>
      <c r="G256" s="439" t="e">
        <f t="shared" si="10"/>
        <v>#DIV/0!</v>
      </c>
      <c r="H256" t="e">
        <f>VLOOKUP(C256,'11.Region'!$B$22:$E$243,4,FALSE)</f>
        <v>#N/A</v>
      </c>
    </row>
    <row r="257" spans="3:8">
      <c r="C257" s="440" t="s">
        <v>3174</v>
      </c>
      <c r="D257" s="438">
        <v>1.1294900000000001</v>
      </c>
      <c r="G257" s="439" t="e">
        <f t="shared" si="10"/>
        <v>#DIV/0!</v>
      </c>
      <c r="H257" t="e">
        <f>VLOOKUP(C257,'11.Region'!$B$22:$E$243,4,FALSE)</f>
        <v>#N/A</v>
      </c>
    </row>
    <row r="258" spans="3:8">
      <c r="C258" s="440" t="s">
        <v>3175</v>
      </c>
      <c r="D258" s="438">
        <v>1.1294900000000001</v>
      </c>
      <c r="G258" s="439" t="e">
        <f t="shared" si="10"/>
        <v>#DIV/0!</v>
      </c>
      <c r="H258" t="e">
        <f>VLOOKUP(C258,'11.Region'!$B$22:$E$243,4,FALSE)</f>
        <v>#N/A</v>
      </c>
    </row>
    <row r="259" spans="3:8">
      <c r="C259" s="440" t="s">
        <v>3176</v>
      </c>
      <c r="D259" s="438">
        <v>1.1294900000000001</v>
      </c>
      <c r="G259" s="439" t="e">
        <f t="shared" ref="G259:G266" si="12">D259*E259/F259</f>
        <v>#DIV/0!</v>
      </c>
      <c r="H259" t="e">
        <f>VLOOKUP(C259,'11.Region'!$B$22:$E$243,4,FALSE)</f>
        <v>#N/A</v>
      </c>
    </row>
    <row r="260" spans="3:8">
      <c r="C260" s="440" t="s">
        <v>3177</v>
      </c>
      <c r="D260" s="438">
        <v>1.1294900000000001</v>
      </c>
      <c r="G260" s="439" t="e">
        <f t="shared" si="12"/>
        <v>#DIV/0!</v>
      </c>
      <c r="H260" t="e">
        <f>VLOOKUP(C260,'11.Region'!$B$22:$E$243,4,FALSE)</f>
        <v>#N/A</v>
      </c>
    </row>
    <row r="261" spans="3:8">
      <c r="C261" s="440" t="s">
        <v>3178</v>
      </c>
      <c r="D261" s="438">
        <v>1.1294900000000001</v>
      </c>
      <c r="G261" s="439" t="e">
        <f t="shared" si="12"/>
        <v>#DIV/0!</v>
      </c>
      <c r="H261" t="e">
        <f>VLOOKUP(C261,'11.Region'!$B$22:$E$243,4,FALSE)</f>
        <v>#N/A</v>
      </c>
    </row>
    <row r="262" spans="3:8">
      <c r="C262" s="440" t="s">
        <v>3179</v>
      </c>
      <c r="D262" s="438">
        <v>1.1294900000000001</v>
      </c>
      <c r="G262" s="439" t="e">
        <f t="shared" si="12"/>
        <v>#DIV/0!</v>
      </c>
      <c r="H262" t="e">
        <f>VLOOKUP(C262,'11.Region'!$B$22:$E$243,4,FALSE)</f>
        <v>#N/A</v>
      </c>
    </row>
    <row r="263" spans="3:8">
      <c r="C263" s="440" t="s">
        <v>3180</v>
      </c>
      <c r="D263" s="438">
        <v>1.1294900000000001</v>
      </c>
      <c r="G263" s="439" t="e">
        <f t="shared" si="12"/>
        <v>#DIV/0!</v>
      </c>
      <c r="H263" t="e">
        <f>VLOOKUP(C263,'11.Region'!$B$22:$E$243,4,FALSE)</f>
        <v>#N/A</v>
      </c>
    </row>
    <row r="264" spans="3:8">
      <c r="C264" s="440" t="s">
        <v>3181</v>
      </c>
      <c r="D264" s="438">
        <v>1.1294900000000001</v>
      </c>
      <c r="G264" s="439" t="e">
        <f t="shared" si="12"/>
        <v>#DIV/0!</v>
      </c>
      <c r="H264" t="e">
        <f>VLOOKUP(C264,'11.Region'!$B$22:$E$243,4,FALSE)</f>
        <v>#N/A</v>
      </c>
    </row>
    <row r="265" spans="3:8">
      <c r="C265" s="440" t="s">
        <v>3182</v>
      </c>
      <c r="D265" s="438">
        <v>1.1294900000000001</v>
      </c>
      <c r="G265" s="439" t="e">
        <f t="shared" si="12"/>
        <v>#DIV/0!</v>
      </c>
      <c r="H265" t="e">
        <f>VLOOKUP(C265,'11.Region'!$B$22:$E$243,4,FALSE)</f>
        <v>#N/A</v>
      </c>
    </row>
    <row r="266" spans="3:8">
      <c r="C266" s="440" t="s">
        <v>686</v>
      </c>
      <c r="D266" s="438">
        <v>1.1294900000000001</v>
      </c>
      <c r="G266" s="439" t="e">
        <f t="shared" si="12"/>
        <v>#DIV/0!</v>
      </c>
      <c r="H266" t="e">
        <f>VLOOKUP(C266,'11.Region'!$B$22:$E$243,4,FALSE)</f>
        <v>#N/A</v>
      </c>
    </row>
    <row r="267" spans="3:8">
      <c r="G267" s="439"/>
    </row>
    <row r="268" spans="3:8">
      <c r="G268" s="439"/>
    </row>
    <row r="269" spans="3:8">
      <c r="G269" s="439"/>
    </row>
    <row r="270" spans="3:8">
      <c r="G270" s="439"/>
    </row>
    <row r="271" spans="3:8">
      <c r="G271" s="439"/>
    </row>
    <row r="272" spans="3:8">
      <c r="G272" s="439"/>
    </row>
    <row r="273" spans="7:7">
      <c r="G273" s="439"/>
    </row>
  </sheetData>
  <sheetProtection algorithmName="SHA-512" hashValue="goSm9MveTHA62rQbVp7cgnvbT12OIJmfPODfpurdPw50hi0pvrPfRgSaE0+6n3Pavht1bSsd0zZgUMlvJYlZiQ==" saltValue="i0BwoAIDBQUPlXZ3oLLBEQ=="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3"/>
  <dimension ref="A1:M65536"/>
  <sheetViews>
    <sheetView topLeftCell="E197" zoomScale="75" zoomScaleNormal="75" workbookViewId="0">
      <pane ySplit="5220" topLeftCell="A243"/>
      <selection activeCell="H216" sqref="H216"/>
      <selection pane="bottomLeft" activeCell="D243" sqref="D243"/>
    </sheetView>
  </sheetViews>
  <sheetFormatPr baseColWidth="10" defaultColWidth="10.28515625" defaultRowHeight="14.1" customHeight="1"/>
  <cols>
    <col min="1" max="1" width="10.28515625" style="451" customWidth="1"/>
    <col min="2" max="2" width="27.28515625" style="451" customWidth="1"/>
    <col min="3" max="3" width="10.28515625" style="451" customWidth="1"/>
    <col min="4" max="4" width="56.7109375" style="451" customWidth="1"/>
    <col min="5" max="5" width="43" style="451" customWidth="1"/>
    <col min="6" max="6" width="43" style="454" customWidth="1"/>
    <col min="7" max="11" width="43" style="451" customWidth="1"/>
    <col min="12" max="12" width="10.28515625" style="451" customWidth="1"/>
    <col min="13" max="13" width="10.28515625" style="455" customWidth="1"/>
    <col min="14" max="16384" width="10.28515625" style="451"/>
  </cols>
  <sheetData>
    <row r="1" spans="1:11" ht="20.100000000000001" customHeight="1">
      <c r="C1" s="452">
        <f>VLOOKUP('0. Intro'!B1,'12.lan'!B2:C12,2,FALSE)</f>
        <v>1</v>
      </c>
      <c r="D1" s="453">
        <f t="shared" ref="D1:D37" si="0">HLOOKUP($C$1,$E$1:$X$4910,ROW(D1))</f>
        <v>1</v>
      </c>
      <c r="E1" s="451">
        <v>1</v>
      </c>
      <c r="F1" s="454">
        <v>2</v>
      </c>
      <c r="G1" s="451">
        <v>3</v>
      </c>
      <c r="H1" s="451">
        <v>4</v>
      </c>
      <c r="I1" s="451">
        <v>5</v>
      </c>
      <c r="J1" s="451">
        <v>6</v>
      </c>
      <c r="K1" s="451">
        <v>7</v>
      </c>
    </row>
    <row r="2" spans="1:11" ht="14.1" customHeight="1">
      <c r="A2" s="451">
        <v>3</v>
      </c>
      <c r="B2" s="456" t="s">
        <v>3188</v>
      </c>
      <c r="C2" s="451">
        <f>A2</f>
        <v>3</v>
      </c>
      <c r="D2" s="453" t="str">
        <f t="shared" si="0"/>
        <v>Deutsch</v>
      </c>
      <c r="E2" s="457" t="s">
        <v>687</v>
      </c>
      <c r="F2" s="457" t="s">
        <v>688</v>
      </c>
      <c r="G2" s="458" t="s">
        <v>689</v>
      </c>
      <c r="H2" s="459" t="s">
        <v>690</v>
      </c>
      <c r="I2" s="457" t="s">
        <v>691</v>
      </c>
      <c r="J2" s="457" t="s">
        <v>692</v>
      </c>
      <c r="K2" s="457" t="s">
        <v>693</v>
      </c>
    </row>
    <row r="3" spans="1:11" ht="14.1" customHeight="1">
      <c r="A3" s="451">
        <v>1</v>
      </c>
      <c r="B3" s="454" t="s">
        <v>687</v>
      </c>
      <c r="C3" s="451">
        <f>A3</f>
        <v>1</v>
      </c>
      <c r="D3" s="453">
        <f t="shared" si="0"/>
        <v>0</v>
      </c>
      <c r="E3" s="454"/>
      <c r="G3" s="460"/>
      <c r="H3" s="454"/>
      <c r="I3" s="454"/>
      <c r="J3" s="454"/>
    </row>
    <row r="4" spans="1:11" ht="15.75" customHeight="1">
      <c r="A4" s="451">
        <v>2</v>
      </c>
      <c r="B4" s="454" t="s">
        <v>688</v>
      </c>
      <c r="C4" s="451">
        <f t="shared" ref="C4:C12" si="1">A4</f>
        <v>2</v>
      </c>
      <c r="D4" s="453" t="str">
        <f t="shared" si="0"/>
        <v>GEMEINWOHL-RECHNER</v>
      </c>
      <c r="E4" s="454" t="s">
        <v>694</v>
      </c>
      <c r="F4" s="461" t="s">
        <v>695</v>
      </c>
      <c r="G4" s="460" t="s">
        <v>696</v>
      </c>
      <c r="H4" s="454" t="s">
        <v>697</v>
      </c>
      <c r="I4" s="454" t="str">
        <f t="shared" ref="I4:I37" si="2">"[fr]"&amp;E4</f>
        <v>[fr]GEMEINWOHL-RECHNER</v>
      </c>
      <c r="J4" s="454" t="str">
        <f>"[pt]"&amp;E4</f>
        <v>[pt]GEMEINWOHL-RECHNER</v>
      </c>
      <c r="K4" s="454" t="str">
        <f t="shared" ref="K4:K37" si="3">"[gr]"&amp;E4</f>
        <v>[gr]GEMEINWOHL-RECHNER</v>
      </c>
    </row>
    <row r="5" spans="1:11" ht="15.75" customHeight="1">
      <c r="A5" s="451">
        <v>3</v>
      </c>
      <c r="B5" s="454" t="s">
        <v>689</v>
      </c>
      <c r="C5" s="451">
        <f t="shared" si="1"/>
        <v>3</v>
      </c>
      <c r="D5" s="453" t="str">
        <f t="shared" si="0"/>
        <v>© GWÖ</v>
      </c>
      <c r="E5" s="454" t="s">
        <v>698</v>
      </c>
      <c r="F5" s="461" t="s">
        <v>699</v>
      </c>
      <c r="G5" s="460" t="s">
        <v>700</v>
      </c>
      <c r="H5" s="454" t="s">
        <v>701</v>
      </c>
      <c r="I5" s="454" t="str">
        <f t="shared" si="2"/>
        <v>[fr]© GWÖ</v>
      </c>
      <c r="J5" s="454" t="str">
        <f>"[pt]"&amp;E5</f>
        <v>[pt]© GWÖ</v>
      </c>
      <c r="K5" s="454" t="str">
        <f t="shared" si="3"/>
        <v>[gr]© GWÖ</v>
      </c>
    </row>
    <row r="6" spans="1:11" ht="15.75" customHeight="1">
      <c r="A6" s="451">
        <v>4</v>
      </c>
      <c r="B6" s="459" t="s">
        <v>690</v>
      </c>
      <c r="C6" s="451">
        <f t="shared" si="1"/>
        <v>4</v>
      </c>
      <c r="D6" s="453" t="str">
        <f t="shared" si="0"/>
        <v>Version</v>
      </c>
      <c r="E6" s="462" t="s">
        <v>702</v>
      </c>
      <c r="F6" s="462" t="s">
        <v>703</v>
      </c>
      <c r="G6" s="463" t="s">
        <v>702</v>
      </c>
      <c r="H6" s="454" t="s">
        <v>704</v>
      </c>
      <c r="I6" s="454" t="str">
        <f t="shared" si="2"/>
        <v>[fr]Version</v>
      </c>
      <c r="J6" s="454" t="s">
        <v>705</v>
      </c>
      <c r="K6" s="454" t="str">
        <f t="shared" si="3"/>
        <v>[gr]Version</v>
      </c>
    </row>
    <row r="7" spans="1:11" ht="15.75" customHeight="1">
      <c r="A7" s="451">
        <v>5</v>
      </c>
      <c r="B7" s="454" t="s">
        <v>691</v>
      </c>
      <c r="C7" s="451">
        <f t="shared" si="1"/>
        <v>5</v>
      </c>
      <c r="D7" s="453" t="str">
        <f t="shared" si="0"/>
        <v>HERZLICH WILLKOMMEN!</v>
      </c>
      <c r="E7" s="461" t="s">
        <v>706</v>
      </c>
      <c r="F7" s="461" t="s">
        <v>707</v>
      </c>
      <c r="G7" s="464" t="s">
        <v>708</v>
      </c>
      <c r="H7" s="454" t="s">
        <v>709</v>
      </c>
      <c r="I7" s="454" t="str">
        <f t="shared" si="2"/>
        <v>[fr]HERZLICH WILLKOMMEN!</v>
      </c>
      <c r="J7" s="454" t="str">
        <f t="shared" ref="J7:J37" si="4">"[pt]"&amp;E7</f>
        <v>[pt]HERZLICH WILLKOMMEN!</v>
      </c>
      <c r="K7" s="454" t="str">
        <f t="shared" si="3"/>
        <v>[gr]HERZLICH WILLKOMMEN!</v>
      </c>
    </row>
    <row r="8" spans="1:11" ht="81.599999999999994" customHeight="1">
      <c r="A8" s="451">
        <v>6</v>
      </c>
      <c r="B8" s="454" t="s">
        <v>692</v>
      </c>
      <c r="C8" s="451">
        <f t="shared" si="1"/>
        <v>6</v>
      </c>
      <c r="D8" s="453" t="str">
        <f t="shared" si="0"/>
        <v>Dieses Tool dient zur Berechnung der Gemeinwohl-Punkte Ihres Unternehmens. Es ist eine Ergänzung zum Gemeinwohlbericht und muss gemeinsam mit diesem genutzt werden.  Wir wünschen gutes Gelingen!</v>
      </c>
      <c r="E8" s="454" t="s">
        <v>710</v>
      </c>
      <c r="F8" s="454" t="s">
        <v>711</v>
      </c>
      <c r="G8" s="465" t="s">
        <v>712</v>
      </c>
      <c r="H8" s="454" t="s">
        <v>713</v>
      </c>
      <c r="I8" s="454" t="str">
        <f t="shared" si="2"/>
        <v>[fr]Dieses Tool dient zur Berechnung der Gemeinwohl-Punkte Ihres Unternehmens. Es ist eine Ergänzung zum Gemeinwohlbericht und muss gemeinsam mit diesem genutzt werden.  Wir wünschen gutes Gelingen!</v>
      </c>
      <c r="J8" s="454" t="str">
        <f t="shared" si="4"/>
        <v>[pt]Dieses Tool dient zur Berechnung der Gemeinwohl-Punkte Ihres Unternehmens. Es ist eine Ergänzung zum Gemeinwohlbericht und muss gemeinsam mit diesem genutzt werden.  Wir wünschen gutes Gelingen!</v>
      </c>
      <c r="K8" s="454" t="str">
        <f t="shared" si="3"/>
        <v>[gr]Dieses Tool dient zur Berechnung der Gemeinwohl-Punkte Ihres Unternehmens. Es ist eine Ergänzung zum Gemeinwohlbericht und muss gemeinsam mit diesem genutzt werden.  Wir wünschen gutes Gelingen!</v>
      </c>
    </row>
    <row r="9" spans="1:11" ht="28.5" customHeight="1">
      <c r="A9" s="451">
        <v>7</v>
      </c>
      <c r="B9" s="454" t="s">
        <v>693</v>
      </c>
      <c r="C9" s="451">
        <f t="shared" si="1"/>
        <v>7</v>
      </c>
      <c r="D9" s="453" t="str">
        <f t="shared" si="0"/>
        <v>WIE SIE DEN BILANZ-RECHNER RICHTIG VERWENDEN:</v>
      </c>
      <c r="E9" s="454" t="s">
        <v>714</v>
      </c>
      <c r="F9" s="454" t="s">
        <v>715</v>
      </c>
      <c r="G9" s="460" t="s">
        <v>716</v>
      </c>
      <c r="H9" s="454" t="s">
        <v>717</v>
      </c>
      <c r="I9" s="454" t="str">
        <f t="shared" si="2"/>
        <v>[fr]WIE SIE DEN BILANZ-RECHNER RICHTIG VERWENDEN:</v>
      </c>
      <c r="J9" s="454" t="str">
        <f t="shared" si="4"/>
        <v>[pt]WIE SIE DEN BILANZ-RECHNER RICHTIG VERWENDEN:</v>
      </c>
      <c r="K9" s="454" t="str">
        <f t="shared" si="3"/>
        <v>[gr]WIE SIE DEN BILANZ-RECHNER RICHTIG VERWENDEN:</v>
      </c>
    </row>
    <row r="10" spans="1:11" ht="15.75" customHeight="1">
      <c r="A10" s="451">
        <v>8</v>
      </c>
      <c r="B10" s="454"/>
      <c r="C10" s="451">
        <f t="shared" si="1"/>
        <v>8</v>
      </c>
      <c r="D10" s="453" t="str">
        <f t="shared" si="0"/>
        <v>1. Allgemeines</v>
      </c>
      <c r="E10" s="454" t="s">
        <v>718</v>
      </c>
      <c r="F10" s="461" t="s">
        <v>719</v>
      </c>
      <c r="G10" s="460" t="s">
        <v>720</v>
      </c>
      <c r="H10" s="454" t="s">
        <v>720</v>
      </c>
      <c r="I10" s="454" t="str">
        <f t="shared" si="2"/>
        <v>[fr]1. Allgemeines</v>
      </c>
      <c r="J10" s="454" t="str">
        <f t="shared" si="4"/>
        <v>[pt]1. Allgemeines</v>
      </c>
      <c r="K10" s="454" t="str">
        <f t="shared" si="3"/>
        <v>[gr]1. Allgemeines</v>
      </c>
    </row>
    <row r="11" spans="1:11" ht="28.5" customHeight="1">
      <c r="A11" s="451">
        <v>9</v>
      </c>
      <c r="B11" s="454"/>
      <c r="C11" s="451">
        <f t="shared" si="1"/>
        <v>9</v>
      </c>
      <c r="D11" s="453" t="str">
        <f t="shared" si="0"/>
        <v>Hier können Sie allgemeinen Angaben zu Ihrem Unternehmen machen.</v>
      </c>
      <c r="E11" s="454" t="s">
        <v>721</v>
      </c>
      <c r="F11" s="454" t="s">
        <v>722</v>
      </c>
      <c r="G11" s="460" t="s">
        <v>723</v>
      </c>
      <c r="H11" s="454" t="s">
        <v>724</v>
      </c>
      <c r="I11" s="454" t="str">
        <f t="shared" si="2"/>
        <v>[fr]Hier können Sie allgemeinen Angaben zu Ihrem Unternehmen machen.</v>
      </c>
      <c r="J11" s="454" t="str">
        <f t="shared" si="4"/>
        <v>[pt]Hier können Sie allgemeinen Angaben zu Ihrem Unternehmen machen.</v>
      </c>
      <c r="K11" s="454" t="str">
        <f t="shared" si="3"/>
        <v>[gr]Hier können Sie allgemeinen Angaben zu Ihrem Unternehmen machen.</v>
      </c>
    </row>
    <row r="12" spans="1:11" ht="41.85" customHeight="1">
      <c r="A12" s="451">
        <v>10</v>
      </c>
      <c r="B12" s="454"/>
      <c r="C12" s="451">
        <f t="shared" si="1"/>
        <v>10</v>
      </c>
      <c r="D12" s="453" t="str">
        <f t="shared" si="0"/>
        <v xml:space="preserve">Hier müssen alle geforderten Kenngrößen eingetragen werden, da diese für die Gewichtung der Themen essentiell sind. </v>
      </c>
      <c r="E12" s="454" t="s">
        <v>725</v>
      </c>
      <c r="F12" s="454" t="s">
        <v>726</v>
      </c>
      <c r="G12" s="460" t="s">
        <v>727</v>
      </c>
      <c r="H12" s="454" t="s">
        <v>728</v>
      </c>
      <c r="I12" s="454" t="str">
        <f t="shared" si="2"/>
        <v xml:space="preserve">[fr]Hier müssen alle geforderten Kenngrößen eingetragen werden, da diese für die Gewichtung der Themen essentiell sind. </v>
      </c>
      <c r="J12" s="454" t="str">
        <f t="shared" si="4"/>
        <v xml:space="preserve">[pt]Hier müssen alle geforderten Kenngrößen eingetragen werden, da diese für die Gewichtung der Themen essentiell sind. </v>
      </c>
      <c r="K12" s="454" t="str">
        <f t="shared" si="3"/>
        <v xml:space="preserve">[gr]Hier müssen alle geforderten Kenngrößen eingetragen werden, da diese für die Gewichtung der Themen essentiell sind. </v>
      </c>
    </row>
    <row r="13" spans="1:11" ht="54.75" customHeight="1">
      <c r="A13" s="451">
        <v>11</v>
      </c>
      <c r="B13" s="454"/>
      <c r="C13" s="466"/>
      <c r="D13" s="453" t="str">
        <f t="shared" si="0"/>
        <v>Für jedes Thema (A1, B1, ...) kann eine bestimmte Anzahl an Gemeinwohl-Punkten erreicht werden. Um zu ermitteln, wie viele davon Ihr Unternehmen erhält, gehen Sie wie folgt vor:</v>
      </c>
      <c r="E13" s="454" t="s">
        <v>729</v>
      </c>
      <c r="F13" s="454" t="s">
        <v>730</v>
      </c>
      <c r="G13" s="460" t="s">
        <v>731</v>
      </c>
      <c r="H13" s="454" t="s">
        <v>732</v>
      </c>
      <c r="I13" s="454" t="str">
        <f t="shared" si="2"/>
        <v>[fr]Für jedes Thema (A1, B1, ...) kann eine bestimmte Anzahl an Gemeinwohl-Punkten erreicht werden. Um zu ermitteln, wie viele davon Ihr Unternehmen erhält, gehen Sie wie folgt vor:</v>
      </c>
      <c r="J13" s="454" t="str">
        <f t="shared" si="4"/>
        <v>[pt]Für jedes Thema (A1, B1, ...) kann eine bestimmte Anzahl an Gemeinwohl-Punkten erreicht werden. Um zu ermitteln, wie viele davon Ihr Unternehmen erhält, gehen Sie wie folgt vor:</v>
      </c>
      <c r="K13" s="454" t="str">
        <f t="shared" si="3"/>
        <v>[gr]Für jedes Thema (A1, B1, ...) kann eine bestimmte Anzahl an Gemeinwohl-Punkten erreicht werden. Um zu ermitteln, wie viele davon Ihr Unternehmen erhält, gehen Sie wie folgt vor:</v>
      </c>
    </row>
    <row r="14" spans="1:11" ht="68.25" customHeight="1">
      <c r="A14" s="451">
        <v>12</v>
      </c>
      <c r="B14" s="454"/>
      <c r="C14" s="466"/>
      <c r="D14" s="453" t="str">
        <f t="shared" si="0"/>
        <v>Beschreiben Sie auf Basis des Arbeitsbuchs in wenigen Stichworten Ist-Zustand und Verbesserungspotenzial für die verschiedenen Aspekte (optional, ist für die Berechnung nicht unbedingt notwendig).</v>
      </c>
      <c r="E14" s="426" t="s">
        <v>733</v>
      </c>
      <c r="F14" s="454" t="s">
        <v>734</v>
      </c>
      <c r="G14" s="460" t="s">
        <v>735</v>
      </c>
      <c r="H14" s="454" t="s">
        <v>736</v>
      </c>
      <c r="I14" s="454" t="str">
        <f t="shared" si="2"/>
        <v>[fr]Beschreiben Sie auf Basis des Arbeitsbuchs in wenigen Stichworten Ist-Zustand und Verbesserungspotenzial für die verschiedenen Aspekte (optional, ist für die Berechnung nicht unbedingt notwendig).</v>
      </c>
      <c r="J14" s="454" t="str">
        <f t="shared" si="4"/>
        <v>[pt]Beschreiben Sie auf Basis des Arbeitsbuchs in wenigen Stichworten Ist-Zustand und Verbesserungspotenzial für die verschiedenen Aspekte (optional, ist für die Berechnung nicht unbedingt notwendig).</v>
      </c>
      <c r="K14" s="454" t="str">
        <f t="shared" si="3"/>
        <v>[gr]Beschreiben Sie auf Basis des Arbeitsbuchs in wenigen Stichworten Ist-Zustand und Verbesserungspotenzial für die verschiedenen Aspekte (optional, ist für die Berechnung nicht unbedingt notwendig).</v>
      </c>
    </row>
    <row r="15" spans="1:11" ht="94.5" customHeight="1">
      <c r="A15" s="451">
        <v>13</v>
      </c>
      <c r="B15" s="454"/>
      <c r="C15" s="466"/>
      <c r="D15" s="453" t="str">
        <f t="shared" si="0"/>
        <v>Geben Sie - aufbauend auf diesen Beschreibungen - an, entsprechend welchem Skalenwert (0-10) Ihrer Meinung nach der jeweilige Aspekt erfüllt ist (Spalte "Erfüllungsgrad"). Anhaltspunkte zur Wahl des "richtigen" Skalenwerts finden Sie wiederum im Arbeitsbuch.</v>
      </c>
      <c r="E15" s="467" t="s">
        <v>737</v>
      </c>
      <c r="F15" s="454" t="s">
        <v>738</v>
      </c>
      <c r="G15" s="460" t="s">
        <v>739</v>
      </c>
      <c r="H15" s="454" t="s">
        <v>740</v>
      </c>
      <c r="I15" s="454" t="str">
        <f t="shared" si="2"/>
        <v>[fr]Geben Sie - aufbauend auf diesen Beschreibungen - an, entsprechend welchem Skalenwert (0-10) Ihrer Meinung nach der jeweilige Aspekt erfüllt ist (Spalte "Erfüllungsgrad"). Anhaltspunkte zur Wahl des "richtigen" Skalenwerts finden Sie wiederum im Arbeitsbuch.</v>
      </c>
      <c r="J15" s="454" t="str">
        <f t="shared" si="4"/>
        <v>[pt]Geben Sie - aufbauend auf diesen Beschreibungen - an, entsprechend welchem Skalenwert (0-10) Ihrer Meinung nach der jeweilige Aspekt erfüllt ist (Spalte "Erfüllungsgrad"). Anhaltspunkte zur Wahl des "richtigen" Skalenwerts finden Sie wiederum im Arbeitsbuch.</v>
      </c>
      <c r="K15" s="454" t="str">
        <f t="shared" si="3"/>
        <v>[gr]Geben Sie - aufbauend auf diesen Beschreibungen - an, entsprechend welchem Skalenwert (0-10) Ihrer Meinung nach der jeweilige Aspekt erfüllt ist (Spalte "Erfüllungsgrad"). Anhaltspunkte zur Wahl des "richtigen" Skalenwerts finden Sie wiederum im Arbeitsbuch.</v>
      </c>
    </row>
    <row r="16" spans="1:11" ht="44.1" customHeight="1">
      <c r="A16" s="451">
        <v>14</v>
      </c>
      <c r="B16" s="454"/>
      <c r="C16" s="466"/>
      <c r="D16" s="453" t="str">
        <f t="shared" si="0"/>
        <v xml:space="preserve">Für die Bewertung der Negativaspekte geben Sie Punktewerte entsprechend der Beschreibungen im Arbeitsbuch an. </v>
      </c>
      <c r="E16" s="454" t="s">
        <v>741</v>
      </c>
      <c r="F16" s="454" t="s">
        <v>742</v>
      </c>
      <c r="G16" s="460" t="s">
        <v>743</v>
      </c>
      <c r="H16" s="454" t="s">
        <v>744</v>
      </c>
      <c r="I16" s="454" t="str">
        <f t="shared" si="2"/>
        <v xml:space="preserve">[fr]Für die Bewertung der Negativaspekte geben Sie Punktewerte entsprechend der Beschreibungen im Arbeitsbuch an. </v>
      </c>
      <c r="J16" s="454" t="str">
        <f t="shared" si="4"/>
        <v xml:space="preserve">[pt]Für die Bewertung der Negativaspekte geben Sie Punktewerte entsprechend der Beschreibungen im Arbeitsbuch an. </v>
      </c>
      <c r="K16" s="454" t="str">
        <f t="shared" si="3"/>
        <v xml:space="preserve">[gr]Für die Bewertung der Negativaspekte geben Sie Punktewerte entsprechend der Beschreibungen im Arbeitsbuch an. </v>
      </c>
    </row>
    <row r="17" spans="1:11" ht="124.5" customHeight="1">
      <c r="A17" s="451">
        <v>15</v>
      </c>
      <c r="B17" s="454"/>
      <c r="C17" s="466"/>
      <c r="D17" s="453" t="str">
        <f t="shared" si="0"/>
        <v>Sie können, wenn es für ihr Unternehmen notwendig erscheint, in Abstimmung mit der AuditorIn die relativen Gewichtungen der einzelnen Aspekte (A1.1, A1.2, ...) verändern. In der Spalte "Gewichtung" ("Gew.") können Sie für jeden Aspekt Werte auswählen. Die Verteilung der möglichen Punkte auf die einzelnen Aspekte wird dann automatisch angepasst, sodass die Summe aller Aspekte eines Themas immer 100% ergibt.</v>
      </c>
      <c r="E17" s="468" t="s">
        <v>745</v>
      </c>
      <c r="F17" s="454" t="s">
        <v>746</v>
      </c>
      <c r="G17" s="460" t="s">
        <v>747</v>
      </c>
      <c r="H17" s="454" t="s">
        <v>748</v>
      </c>
      <c r="I17" s="454" t="str">
        <f t="shared" si="2"/>
        <v>[fr]Sie können, wenn es für ihr Unternehmen notwendig erscheint, in Abstimmung mit der AuditorIn die relativen Gewichtungen der einzelnen Aspekte (A1.1, A1.2, ...) verändern. In der Spalte "Gewichtung" ("Gew.") können Sie für jeden Aspekt Werte auswählen. Die Verteilung der möglichen Punkte auf die einzelnen Aspekte wird dann automatisch angepasst, sodass die Summe aller Aspekte eines Themas immer 100% ergibt.</v>
      </c>
      <c r="J17" s="454" t="str">
        <f t="shared" si="4"/>
        <v>[pt]Sie können, wenn es für ihr Unternehmen notwendig erscheint, in Abstimmung mit der AuditorIn die relativen Gewichtungen der einzelnen Aspekte (A1.1, A1.2, ...) verändern. In der Spalte "Gewichtung" ("Gew.") können Sie für jeden Aspekt Werte auswählen. Die Verteilung der möglichen Punkte auf die einzelnen Aspekte wird dann automatisch angepasst, sodass die Summe aller Aspekte eines Themas immer 100% ergibt.</v>
      </c>
      <c r="K17" s="454" t="str">
        <f t="shared" si="3"/>
        <v>[gr]Sie können, wenn es für ihr Unternehmen notwendig erscheint, in Abstimmung mit der AuditorIn die relativen Gewichtungen der einzelnen Aspekte (A1.1, A1.2, ...) verändern. In der Spalte "Gewichtung" ("Gew.") können Sie für jeden Aspekt Werte auswählen. Die Verteilung der möglichen Punkte auf die einzelnen Aspekte wird dann automatisch angepasst, sodass die Summe aller Aspekte eines Themas immer 100% ergibt.</v>
      </c>
    </row>
    <row r="18" spans="1:11" ht="54.75" customHeight="1">
      <c r="A18" s="451">
        <v>16</v>
      </c>
      <c r="B18" s="454"/>
      <c r="C18" s="466"/>
      <c r="D18" s="453" t="str">
        <f t="shared" si="0"/>
        <v>Bei der Berechnung werden die Gesamtwerte pro Thema automatisch entsprechend der Angaben im Faktenblatt gewichtet und auf ganzzahlige Vielfache von 10% gerundet.</v>
      </c>
      <c r="E18" s="454" t="s">
        <v>749</v>
      </c>
      <c r="F18" s="454" t="s">
        <v>750</v>
      </c>
      <c r="G18" s="460" t="s">
        <v>751</v>
      </c>
      <c r="H18" s="454" t="s">
        <v>752</v>
      </c>
      <c r="I18" s="454" t="str">
        <f t="shared" si="2"/>
        <v>[fr]Bei der Berechnung werden die Gesamtwerte pro Thema automatisch entsprechend der Angaben im Faktenblatt gewichtet und auf ganzzahlige Vielfache von 10% gerundet.</v>
      </c>
      <c r="J18" s="454" t="str">
        <f t="shared" si="4"/>
        <v>[pt]Bei der Berechnung werden die Gesamtwerte pro Thema automatisch entsprechend der Angaben im Faktenblatt gewichtet und auf ganzzahlige Vielfache von 10% gerundet.</v>
      </c>
      <c r="K18" s="454" t="str">
        <f t="shared" si="3"/>
        <v>[gr]Bei der Berechnung werden die Gesamtwerte pro Thema automatisch entsprechend der Angaben im Faktenblatt gewichtet und auf ganzzahlige Vielfache von 10% gerundet.</v>
      </c>
    </row>
    <row r="19" spans="1:11" ht="28.5" customHeight="1">
      <c r="B19" s="454"/>
      <c r="C19" s="466"/>
      <c r="D19" s="453" t="str">
        <f t="shared" si="0"/>
        <v>Die "GW-Matrix" bietet einen tabellarischen Überblick über Ihr Ergebnis.</v>
      </c>
      <c r="E19" s="454" t="s">
        <v>753</v>
      </c>
      <c r="F19" s="454" t="s">
        <v>754</v>
      </c>
      <c r="G19" s="460" t="s">
        <v>755</v>
      </c>
      <c r="H19" s="454" t="s">
        <v>756</v>
      </c>
      <c r="I19" s="454" t="str">
        <f t="shared" si="2"/>
        <v>[fr]Die "GW-Matrix" bietet einen tabellarischen Überblick über Ihr Ergebnis.</v>
      </c>
      <c r="J19" s="454" t="str">
        <f t="shared" si="4"/>
        <v>[pt]Die "GW-Matrix" bietet einen tabellarischen Überblick über Ihr Ergebnis.</v>
      </c>
      <c r="K19" s="454" t="str">
        <f t="shared" si="3"/>
        <v>[gr]Die "GW-Matrix" bietet einen tabellarischen Überblick über Ihr Ergebnis.</v>
      </c>
    </row>
    <row r="20" spans="1:11" ht="41.85" customHeight="1">
      <c r="B20" s="466"/>
      <c r="C20" s="466"/>
      <c r="D20" s="453" t="str">
        <f t="shared" si="0"/>
        <v>Die "GW-Matrix" bietet einen tabellarischen Blick auf Ihr Ergebnis.</v>
      </c>
      <c r="E20" s="454" t="s">
        <v>757</v>
      </c>
      <c r="F20" s="454" t="s">
        <v>758</v>
      </c>
      <c r="G20" s="460" t="s">
        <v>759</v>
      </c>
      <c r="H20" s="454" t="s">
        <v>760</v>
      </c>
      <c r="I20" s="454" t="str">
        <f t="shared" si="2"/>
        <v>[fr]Die "GW-Matrix" bietet einen tabellarischen Blick auf Ihr Ergebnis.</v>
      </c>
      <c r="J20" s="454" t="str">
        <f t="shared" si="4"/>
        <v>[pt]Die "GW-Matrix" bietet einen tabellarischen Blick auf Ihr Ergebnis.</v>
      </c>
      <c r="K20" s="454" t="str">
        <f t="shared" si="3"/>
        <v>[gr]Die "GW-Matrix" bietet einen tabellarischen Blick auf Ihr Ergebnis.</v>
      </c>
    </row>
    <row r="21" spans="1:11" ht="41.85" customHeight="1">
      <c r="B21" s="466"/>
      <c r="C21" s="466"/>
      <c r="D21" s="453" t="str">
        <f t="shared" si="0"/>
        <v>Der "Werte-Stern" zeigt schließlich Ihr Ergebnis nach Werten gegliedert in graphischer Form.</v>
      </c>
      <c r="E21" s="454" t="s">
        <v>761</v>
      </c>
      <c r="F21" s="454" t="s">
        <v>762</v>
      </c>
      <c r="G21" s="460" t="s">
        <v>763</v>
      </c>
      <c r="H21" s="454" t="s">
        <v>764</v>
      </c>
      <c r="I21" s="454" t="str">
        <f t="shared" si="2"/>
        <v>[fr]Der "Werte-Stern" zeigt schließlich Ihr Ergebnis nach Werten gegliedert in graphischer Form.</v>
      </c>
      <c r="J21" s="454" t="str">
        <f t="shared" si="4"/>
        <v>[pt]Der "Werte-Stern" zeigt schließlich Ihr Ergebnis nach Werten gegliedert in graphischer Form.</v>
      </c>
      <c r="K21" s="454" t="str">
        <f t="shared" si="3"/>
        <v>[gr]Der "Werte-Stern" zeigt schließlich Ihr Ergebnis nach Werten gegliedert in graphischer Form.</v>
      </c>
    </row>
    <row r="22" spans="1:11" ht="41.85" customHeight="1">
      <c r="B22" s="466"/>
      <c r="C22" s="466"/>
      <c r="D22" s="453" t="str">
        <f t="shared" si="0"/>
        <v>Der "Gruppen-Stern" zeigt schließlich Ihr Ergebnis nach Berührungsgruppen gegliedert in graphischer Form.</v>
      </c>
      <c r="E22" s="426" t="s">
        <v>765</v>
      </c>
      <c r="F22" s="454" t="s">
        <v>766</v>
      </c>
      <c r="G22" s="460" t="s">
        <v>767</v>
      </c>
      <c r="H22" s="454" t="s">
        <v>768</v>
      </c>
      <c r="I22" s="454" t="str">
        <f t="shared" si="2"/>
        <v>[fr]Der "Gruppen-Stern" zeigt schließlich Ihr Ergebnis nach Berührungsgruppen gegliedert in graphischer Form.</v>
      </c>
      <c r="J22" s="454" t="str">
        <f t="shared" si="4"/>
        <v>[pt]Der "Gruppen-Stern" zeigt schließlich Ihr Ergebnis nach Berührungsgruppen gegliedert in graphischer Form.</v>
      </c>
      <c r="K22" s="454" t="str">
        <f t="shared" si="3"/>
        <v>[gr]Der "Gruppen-Stern" zeigt schließlich Ihr Ergebnis nach Berührungsgruppen gegliedert in graphischer Form.</v>
      </c>
    </row>
    <row r="23" spans="1:11" ht="28.5" customHeight="1">
      <c r="B23" s="466"/>
      <c r="C23" s="466"/>
      <c r="D23" s="453" t="str">
        <f t="shared" si="0"/>
        <v>Der "Themen-Stern" zeigt schließlich Ihr Ergebnis in allen Themen in graphischer Form.</v>
      </c>
      <c r="E23" s="459" t="s">
        <v>769</v>
      </c>
      <c r="F23" s="454" t="s">
        <v>770</v>
      </c>
      <c r="G23" s="460" t="s">
        <v>771</v>
      </c>
      <c r="H23" s="454" t="s">
        <v>772</v>
      </c>
      <c r="I23" s="454" t="str">
        <f t="shared" si="2"/>
        <v>[fr]Der "Themen-Stern" zeigt schließlich Ihr Ergebnis in allen Themen in graphischer Form.</v>
      </c>
      <c r="J23" s="454" t="str">
        <f t="shared" si="4"/>
        <v>[pt]Der "Themen-Stern" zeigt schließlich Ihr Ergebnis in allen Themen in graphischer Form.</v>
      </c>
      <c r="K23" s="454" t="str">
        <f t="shared" si="3"/>
        <v>[gr]Der "Themen-Stern" zeigt schließlich Ihr Ergebnis in allen Themen in graphischer Form.</v>
      </c>
    </row>
    <row r="24" spans="1:11" ht="28.5" customHeight="1">
      <c r="B24" s="466"/>
      <c r="C24" s="466"/>
      <c r="D24" s="453" t="str">
        <f t="shared" si="0"/>
        <v xml:space="preserve">Hier finden Sie eine Beschreibung der Gewichtungsmodelles. </v>
      </c>
      <c r="E24" s="454" t="s">
        <v>773</v>
      </c>
      <c r="F24" s="454" t="s">
        <v>774</v>
      </c>
      <c r="G24" s="460" t="s">
        <v>775</v>
      </c>
      <c r="H24" s="454" t="s">
        <v>776</v>
      </c>
      <c r="I24" s="454" t="str">
        <f t="shared" si="2"/>
        <v xml:space="preserve">[fr]Hier finden Sie eine Beschreibung der Gewichtungsmodelles. </v>
      </c>
      <c r="J24" s="454" t="str">
        <f t="shared" si="4"/>
        <v xml:space="preserve">[pt]Hier finden Sie eine Beschreibung der Gewichtungsmodelles. </v>
      </c>
      <c r="K24" s="454" t="str">
        <f t="shared" si="3"/>
        <v xml:space="preserve">[gr]Hier finden Sie eine Beschreibung der Gewichtungsmodelles. </v>
      </c>
    </row>
    <row r="25" spans="1:11" ht="41.85" customHeight="1">
      <c r="B25" s="466"/>
      <c r="C25" s="466"/>
      <c r="D25" s="453" t="str">
        <f t="shared" si="0"/>
        <v>Hier erfolgt die Berechnung wie die einzelnen Berührungsgruppen und Themen gewichtet werden.</v>
      </c>
      <c r="E25" s="454" t="s">
        <v>777</v>
      </c>
      <c r="F25" s="454" t="s">
        <v>778</v>
      </c>
      <c r="G25" s="460" t="s">
        <v>779</v>
      </c>
      <c r="H25" s="454" t="s">
        <v>780</v>
      </c>
      <c r="I25" s="454" t="str">
        <f t="shared" si="2"/>
        <v>[fr]Hier erfolgt die Berechnung wie die einzelnen Berührungsgruppen und Themen gewichtet werden.</v>
      </c>
      <c r="J25" s="454" t="str">
        <f t="shared" si="4"/>
        <v>[pt]Hier erfolgt die Berechnung wie die einzelnen Berührungsgruppen und Themen gewichtet werden.</v>
      </c>
      <c r="K25" s="454" t="str">
        <f t="shared" si="3"/>
        <v>[gr]Hier erfolgt die Berechnung wie die einzelnen Berührungsgruppen und Themen gewichtet werden.</v>
      </c>
    </row>
    <row r="26" spans="1:11" ht="54.75" customHeight="1">
      <c r="B26" s="466"/>
      <c r="C26" s="466"/>
      <c r="D26" s="453" t="str">
        <f t="shared" si="0"/>
        <v xml:space="preserve">Enthält Einschätzungen der Relevanz von Zulieferkette und ökologische Nachhaltigkeit für alle Branchen,, die für die Gewichtung herangezogen werden. </v>
      </c>
      <c r="E26" s="454" t="s">
        <v>781</v>
      </c>
      <c r="F26" s="454" t="s">
        <v>782</v>
      </c>
      <c r="G26" s="460" t="s">
        <v>783</v>
      </c>
      <c r="H26" s="454" t="s">
        <v>784</v>
      </c>
      <c r="I26" s="454" t="str">
        <f t="shared" si="2"/>
        <v xml:space="preserve">[fr]Enthält Einschätzungen der Relevanz von Zulieferkette und ökologische Nachhaltigkeit für alle Branchen,, die für die Gewichtung herangezogen werden. </v>
      </c>
      <c r="J26" s="454" t="str">
        <f t="shared" si="4"/>
        <v xml:space="preserve">[pt]Enthält Einschätzungen der Relevanz von Zulieferkette und ökologische Nachhaltigkeit für alle Branchen,, die für die Gewichtung herangezogen werden. </v>
      </c>
      <c r="K26" s="454" t="str">
        <f t="shared" si="3"/>
        <v xml:space="preserve">[gr]Enthält Einschätzungen der Relevanz von Zulieferkette und ökologische Nachhaltigkeit für alle Branchen,, die für die Gewichtung herangezogen werden. </v>
      </c>
    </row>
    <row r="27" spans="1:11" ht="28.5" customHeight="1">
      <c r="B27" s="466"/>
      <c r="C27" s="466"/>
      <c r="D27" s="453" t="str">
        <f t="shared" si="0"/>
        <v xml:space="preserve">Enthält Statistiken für Länder und Regionen, die für die Gewichtung herangezogen werden. </v>
      </c>
      <c r="E27" s="454" t="s">
        <v>785</v>
      </c>
      <c r="F27" s="454" t="s">
        <v>786</v>
      </c>
      <c r="G27" s="460" t="s">
        <v>787</v>
      </c>
      <c r="H27" s="454" t="s">
        <v>788</v>
      </c>
      <c r="I27" s="454" t="str">
        <f t="shared" si="2"/>
        <v xml:space="preserve">[fr]Enthält Statistiken für Länder und Regionen, die für die Gewichtung herangezogen werden. </v>
      </c>
      <c r="J27" s="454" t="str">
        <f t="shared" si="4"/>
        <v xml:space="preserve">[pt]Enthält Statistiken für Länder und Regionen, die für die Gewichtung herangezogen werden. </v>
      </c>
      <c r="K27" s="454" t="str">
        <f t="shared" si="3"/>
        <v xml:space="preserve">[gr]Enthält Statistiken für Länder und Regionen, die für die Gewichtung herangezogen werden. </v>
      </c>
    </row>
    <row r="28" spans="1:11" ht="15.75" customHeight="1">
      <c r="B28" s="466"/>
      <c r="C28" s="466"/>
      <c r="D28" s="453" t="str">
        <f t="shared" si="0"/>
        <v>2. Fakten zum Unternehmen</v>
      </c>
      <c r="E28" s="454" t="s">
        <v>789</v>
      </c>
      <c r="F28" s="454" t="s">
        <v>790</v>
      </c>
      <c r="G28" s="460" t="s">
        <v>791</v>
      </c>
      <c r="H28" s="454" t="s">
        <v>792</v>
      </c>
      <c r="I28" s="454" t="str">
        <f t="shared" si="2"/>
        <v>[fr]2. Fakten zum Unternehmen</v>
      </c>
      <c r="J28" s="454" t="str">
        <f t="shared" si="4"/>
        <v>[pt]2. Fakten zum Unternehmen</v>
      </c>
      <c r="K28" s="454" t="str">
        <f t="shared" si="3"/>
        <v>[gr]2. Fakten zum Unternehmen</v>
      </c>
    </row>
    <row r="29" spans="1:11" ht="15.75" customHeight="1">
      <c r="B29" s="466"/>
      <c r="C29" s="466"/>
      <c r="D29" s="453" t="str">
        <f t="shared" si="0"/>
        <v>3. Berechnung</v>
      </c>
      <c r="E29" s="454" t="s">
        <v>793</v>
      </c>
      <c r="F29" s="454" t="s">
        <v>794</v>
      </c>
      <c r="G29" s="460" t="s">
        <v>795</v>
      </c>
      <c r="H29" s="454" t="s">
        <v>796</v>
      </c>
      <c r="I29" s="454" t="str">
        <f t="shared" si="2"/>
        <v>[fr]3. Berechnung</v>
      </c>
      <c r="J29" s="454" t="str">
        <f t="shared" si="4"/>
        <v>[pt]3. Berechnung</v>
      </c>
      <c r="K29" s="454" t="str">
        <f t="shared" si="3"/>
        <v>[gr]3. Berechnung</v>
      </c>
    </row>
    <row r="30" spans="1:11" ht="15.75" customHeight="1">
      <c r="B30" s="466"/>
      <c r="C30" s="466"/>
      <c r="D30" s="453" t="str">
        <f t="shared" si="0"/>
        <v>4. GW-Matrix</v>
      </c>
      <c r="E30" s="454" t="s">
        <v>797</v>
      </c>
      <c r="F30" s="454" t="s">
        <v>798</v>
      </c>
      <c r="G30" s="460" t="s">
        <v>799</v>
      </c>
      <c r="H30" s="454" t="s">
        <v>800</v>
      </c>
      <c r="I30" s="454" t="str">
        <f t="shared" si="2"/>
        <v>[fr]4. GW-Matrix</v>
      </c>
      <c r="J30" s="454" t="str">
        <f t="shared" si="4"/>
        <v>[pt]4. GW-Matrix</v>
      </c>
      <c r="K30" s="454" t="str">
        <f t="shared" si="3"/>
        <v>[gr]4. GW-Matrix</v>
      </c>
    </row>
    <row r="31" spans="1:11" ht="15.75" customHeight="1">
      <c r="B31" s="466"/>
      <c r="C31" s="466"/>
      <c r="D31" s="453" t="str">
        <f t="shared" si="0"/>
        <v>5. Werte-Stern</v>
      </c>
      <c r="E31" s="454" t="s">
        <v>801</v>
      </c>
      <c r="F31" s="454" t="s">
        <v>802</v>
      </c>
      <c r="G31" s="460" t="s">
        <v>803</v>
      </c>
      <c r="H31" s="454" t="s">
        <v>804</v>
      </c>
      <c r="I31" s="454" t="str">
        <f t="shared" si="2"/>
        <v>[fr]5. Werte-Stern</v>
      </c>
      <c r="J31" s="454" t="str">
        <f t="shared" si="4"/>
        <v>[pt]5. Werte-Stern</v>
      </c>
      <c r="K31" s="454" t="str">
        <f t="shared" si="3"/>
        <v>[gr]5. Werte-Stern</v>
      </c>
    </row>
    <row r="32" spans="1:11" ht="15.75" customHeight="1">
      <c r="B32" s="466"/>
      <c r="C32" s="466"/>
      <c r="D32" s="453" t="str">
        <f t="shared" si="0"/>
        <v>6. Gruppen-Stern</v>
      </c>
      <c r="E32" s="454" t="s">
        <v>805</v>
      </c>
      <c r="F32" s="454" t="s">
        <v>806</v>
      </c>
      <c r="G32" s="460" t="s">
        <v>807</v>
      </c>
      <c r="H32" s="454" t="s">
        <v>808</v>
      </c>
      <c r="I32" s="454" t="str">
        <f t="shared" si="2"/>
        <v>[fr]6. Gruppen-Stern</v>
      </c>
      <c r="J32" s="454" t="str">
        <f t="shared" si="4"/>
        <v>[pt]6. Gruppen-Stern</v>
      </c>
      <c r="K32" s="454" t="str">
        <f t="shared" si="3"/>
        <v>[gr]6. Gruppen-Stern</v>
      </c>
    </row>
    <row r="33" spans="2:11" ht="15.75" customHeight="1">
      <c r="B33" s="466"/>
      <c r="C33" s="466"/>
      <c r="D33" s="453" t="str">
        <f t="shared" si="0"/>
        <v>7. Themen-Stern</v>
      </c>
      <c r="E33" s="454" t="s">
        <v>809</v>
      </c>
      <c r="F33" s="454" t="s">
        <v>810</v>
      </c>
      <c r="G33" s="460" t="s">
        <v>811</v>
      </c>
      <c r="H33" s="454" t="s">
        <v>812</v>
      </c>
      <c r="I33" s="454" t="str">
        <f t="shared" si="2"/>
        <v>[fr]7. Themen-Stern</v>
      </c>
      <c r="J33" s="454" t="str">
        <f t="shared" si="4"/>
        <v>[pt]7. Themen-Stern</v>
      </c>
      <c r="K33" s="454" t="str">
        <f t="shared" si="3"/>
        <v>[gr]7. Themen-Stern</v>
      </c>
    </row>
    <row r="34" spans="2:11" ht="15.75" customHeight="1">
      <c r="B34" s="466"/>
      <c r="C34" s="466"/>
      <c r="D34" s="453" t="str">
        <f t="shared" si="0"/>
        <v>8. Beschreibung Gewichtungsmodell</v>
      </c>
      <c r="E34" s="454" t="s">
        <v>813</v>
      </c>
      <c r="F34" s="454" t="s">
        <v>814</v>
      </c>
      <c r="G34" s="460" t="s">
        <v>815</v>
      </c>
      <c r="H34" s="454" t="s">
        <v>816</v>
      </c>
      <c r="I34" s="454" t="str">
        <f t="shared" si="2"/>
        <v>[fr]8. Beschreibung Gewichtungsmodell</v>
      </c>
      <c r="J34" s="454" t="str">
        <f t="shared" si="4"/>
        <v>[pt]8. Beschreibung Gewichtungsmodell</v>
      </c>
      <c r="K34" s="454" t="str">
        <f t="shared" si="3"/>
        <v>[gr]8. Beschreibung Gewichtungsmodell</v>
      </c>
    </row>
    <row r="35" spans="2:11" ht="15.75" customHeight="1">
      <c r="B35" s="466"/>
      <c r="C35" s="466"/>
      <c r="D35" s="453" t="str">
        <f t="shared" si="0"/>
        <v>9. Gewichtung (ausgeblendet)</v>
      </c>
      <c r="E35" s="454" t="s">
        <v>817</v>
      </c>
      <c r="F35" s="454" t="s">
        <v>818</v>
      </c>
      <c r="G35" s="460" t="s">
        <v>819</v>
      </c>
      <c r="H35" s="454" t="s">
        <v>820</v>
      </c>
      <c r="I35" s="454" t="str">
        <f t="shared" si="2"/>
        <v>[fr]9. Gewichtung (ausgeblendet)</v>
      </c>
      <c r="J35" s="454" t="str">
        <f t="shared" si="4"/>
        <v>[pt]9. Gewichtung (ausgeblendet)</v>
      </c>
      <c r="K35" s="454" t="str">
        <f t="shared" si="3"/>
        <v>[gr]9. Gewichtung (ausgeblendet)</v>
      </c>
    </row>
    <row r="36" spans="2:11" ht="15.75" customHeight="1">
      <c r="B36" s="466"/>
      <c r="C36" s="466"/>
      <c r="D36" s="453" t="str">
        <f t="shared" si="0"/>
        <v>10. Branchen (ausgeblendet)</v>
      </c>
      <c r="E36" s="454" t="s">
        <v>821</v>
      </c>
      <c r="F36" s="454" t="s">
        <v>822</v>
      </c>
      <c r="G36" s="460" t="s">
        <v>823</v>
      </c>
      <c r="H36" s="454" t="s">
        <v>824</v>
      </c>
      <c r="I36" s="454" t="str">
        <f t="shared" si="2"/>
        <v>[fr]10. Branchen (ausgeblendet)</v>
      </c>
      <c r="J36" s="454" t="str">
        <f t="shared" si="4"/>
        <v>[pt]10. Branchen (ausgeblendet)</v>
      </c>
      <c r="K36" s="454" t="str">
        <f t="shared" si="3"/>
        <v>[gr]10. Branchen (ausgeblendet)</v>
      </c>
    </row>
    <row r="37" spans="2:11" ht="15.75" customHeight="1">
      <c r="B37" s="466"/>
      <c r="C37" s="466"/>
      <c r="D37" s="453" t="str">
        <f t="shared" si="0"/>
        <v>11. Länder und Regionen (ausgeblendet)</v>
      </c>
      <c r="E37" s="454" t="s">
        <v>825</v>
      </c>
      <c r="F37" s="454" t="s">
        <v>826</v>
      </c>
      <c r="G37" s="460" t="s">
        <v>827</v>
      </c>
      <c r="H37" s="454" t="s">
        <v>828</v>
      </c>
      <c r="I37" s="454" t="str">
        <f t="shared" si="2"/>
        <v>[fr]11. Länder und Regionen (ausgeblendet)</v>
      </c>
      <c r="J37" s="454" t="str">
        <f t="shared" si="4"/>
        <v>[pt]11. Länder und Regionen (ausgeblendet)</v>
      </c>
      <c r="K37" s="454" t="str">
        <f t="shared" si="3"/>
        <v>[gr]11. Länder und Regionen (ausgeblendet)</v>
      </c>
    </row>
    <row r="38" spans="2:11" ht="15.75" customHeight="1">
      <c r="B38" s="466"/>
      <c r="C38" s="466"/>
      <c r="D38" s="453"/>
      <c r="E38" s="454"/>
      <c r="G38" s="460"/>
      <c r="H38" s="454"/>
      <c r="I38" s="454"/>
      <c r="J38" s="454"/>
      <c r="K38" s="454"/>
    </row>
    <row r="39" spans="2:11" ht="15.75" customHeight="1">
      <c r="B39" s="466"/>
      <c r="C39" s="466"/>
      <c r="D39" s="453">
        <f t="shared" ref="D39:D293" si="5">HLOOKUP($C$1,$E$1:$X$4910,ROW(D39))</f>
        <v>0</v>
      </c>
      <c r="E39" s="454"/>
      <c r="G39" s="460"/>
      <c r="H39" s="454"/>
      <c r="I39" s="454"/>
      <c r="J39" s="454"/>
      <c r="K39" s="454"/>
    </row>
    <row r="40" spans="2:11" ht="15.75" customHeight="1">
      <c r="B40" s="466"/>
      <c r="C40" s="466"/>
      <c r="D40" s="453" t="str">
        <f t="shared" si="5"/>
        <v>LEGENDE</v>
      </c>
      <c r="E40" s="454" t="s">
        <v>829</v>
      </c>
      <c r="F40" s="454" t="s">
        <v>830</v>
      </c>
      <c r="G40" s="460" t="s">
        <v>831</v>
      </c>
      <c r="H40" s="454" t="s">
        <v>832</v>
      </c>
      <c r="I40" s="454" t="str">
        <f>"[fr]"&amp;E40</f>
        <v>[fr]LEGENDE</v>
      </c>
      <c r="J40" s="454" t="str">
        <f>"[pt]"&amp;E40</f>
        <v>[pt]LEGENDE</v>
      </c>
      <c r="K40" s="454" t="str">
        <f>"[gr]"&amp;E40</f>
        <v>[gr]LEGENDE</v>
      </c>
    </row>
    <row r="41" spans="2:11" ht="28.5" customHeight="1">
      <c r="B41" s="466"/>
      <c r="C41" s="466"/>
      <c r="D41" s="453" t="str">
        <f t="shared" si="5"/>
        <v>Feld ist beschreibbar (grüner Rahmen, dunkelgrüne Schrift)</v>
      </c>
      <c r="E41" s="454" t="s">
        <v>833</v>
      </c>
      <c r="F41" s="454" t="s">
        <v>834</v>
      </c>
      <c r="G41" s="460" t="s">
        <v>835</v>
      </c>
      <c r="H41" s="454" t="s">
        <v>836</v>
      </c>
      <c r="I41" s="454" t="str">
        <f>"[fr]"&amp;E41</f>
        <v>[fr]Feld ist beschreibbar (grüner Rahmen, dunkelgrüne Schrift)</v>
      </c>
      <c r="J41" s="454" t="str">
        <f>"[pt]"&amp;E41</f>
        <v>[pt]Feld ist beschreibbar (grüner Rahmen, dunkelgrüne Schrift)</v>
      </c>
      <c r="K41" s="454" t="str">
        <f>"[gr]"&amp;E41</f>
        <v>[gr]Feld ist beschreibbar (grüner Rahmen, dunkelgrüne Schrift)</v>
      </c>
    </row>
    <row r="42" spans="2:11" ht="28.5" customHeight="1">
      <c r="B42" s="466"/>
      <c r="C42" s="466"/>
      <c r="D42" s="453" t="str">
        <f t="shared" si="5"/>
        <v>Feld ist nicht beschreibbar (grauer Rahmen, dunkelgraue Schrift)</v>
      </c>
      <c r="E42" s="454" t="s">
        <v>837</v>
      </c>
      <c r="F42" s="454" t="s">
        <v>838</v>
      </c>
      <c r="G42" s="460" t="s">
        <v>839</v>
      </c>
      <c r="H42" s="454" t="s">
        <v>840</v>
      </c>
      <c r="I42" s="454" t="str">
        <f>"[fr]"&amp;E42</f>
        <v>[fr]Feld ist nicht beschreibbar (grauer Rahmen, dunkelgraue Schrift)</v>
      </c>
      <c r="J42" s="454" t="str">
        <f>"[pt]"&amp;E42</f>
        <v>[pt]Feld ist nicht beschreibbar (grauer Rahmen, dunkelgraue Schrift)</v>
      </c>
      <c r="K42" s="454" t="str">
        <f>"[gr]"&amp;E42</f>
        <v>[gr]Feld ist nicht beschreibbar (grauer Rahmen, dunkelgraue Schrift)</v>
      </c>
    </row>
    <row r="43" spans="2:11" ht="26.85" customHeight="1">
      <c r="B43" s="466"/>
      <c r="C43" s="466"/>
      <c r="D43" s="453" t="str">
        <f t="shared" si="5"/>
        <v>unerlaubter Wert eingegeben (zur korrekten Berechnung Wert ändern)</v>
      </c>
      <c r="E43" s="454" t="s">
        <v>841</v>
      </c>
      <c r="F43" s="454" t="s">
        <v>842</v>
      </c>
      <c r="G43" s="460" t="s">
        <v>843</v>
      </c>
      <c r="H43" s="454" t="s">
        <v>844</v>
      </c>
      <c r="I43" s="454" t="str">
        <f>"[fr]"&amp;E43</f>
        <v>[fr]unerlaubter Wert eingegeben (zur korrekten Berechnung Wert ändern)</v>
      </c>
      <c r="J43" s="454" t="str">
        <f>"[pt]"&amp;E43</f>
        <v>[pt]unerlaubter Wert eingegeben (zur korrekten Berechnung Wert ändern)</v>
      </c>
      <c r="K43" s="454" t="str">
        <f>"[gr]"&amp;E43</f>
        <v>[gr]unerlaubter Wert eingegeben (zur korrekten Berechnung Wert ändern)</v>
      </c>
    </row>
    <row r="44" spans="2:11" ht="26.85" customHeight="1">
      <c r="B44" s="466"/>
      <c r="C44" s="466"/>
      <c r="D44" s="453" t="str">
        <f t="shared" si="5"/>
        <v>fehlerhafte Eingabe</v>
      </c>
      <c r="E44" s="469" t="s">
        <v>3197</v>
      </c>
      <c r="F44" s="469" t="s">
        <v>3197</v>
      </c>
      <c r="G44" s="470" t="s">
        <v>3198</v>
      </c>
      <c r="H44" s="469" t="s">
        <v>3199</v>
      </c>
      <c r="I44" s="454" t="str">
        <f>"[fr]"&amp;E44</f>
        <v>[fr]fehlerhafte Eingabe</v>
      </c>
      <c r="J44" s="454" t="str">
        <f>"[pt]"&amp;E44</f>
        <v>[pt]fehlerhafte Eingabe</v>
      </c>
      <c r="K44" s="454" t="str">
        <f>"[gr]"&amp;E44</f>
        <v>[gr]fehlerhafte Eingabe</v>
      </c>
    </row>
    <row r="45" spans="2:11" ht="44.1" customHeight="1">
      <c r="B45" s="466"/>
      <c r="C45" s="466"/>
      <c r="D45" s="453">
        <f t="shared" si="5"/>
        <v>0</v>
      </c>
      <c r="E45" s="454"/>
      <c r="G45" s="460"/>
      <c r="H45" s="454"/>
      <c r="I45" s="454"/>
      <c r="J45" s="454"/>
      <c r="K45" s="454"/>
    </row>
    <row r="46" spans="2:11" ht="26.85" customHeight="1">
      <c r="B46" s="466"/>
      <c r="C46" s="466"/>
      <c r="D46" s="453">
        <f t="shared" si="5"/>
        <v>0</v>
      </c>
      <c r="E46" s="454"/>
      <c r="G46" s="460"/>
      <c r="H46" s="454"/>
      <c r="I46" s="454"/>
      <c r="J46" s="454"/>
      <c r="K46" s="454"/>
    </row>
    <row r="47" spans="2:11" ht="38.25" customHeight="1">
      <c r="B47" s="466"/>
      <c r="C47" s="466"/>
      <c r="D47" s="453">
        <f t="shared" si="5"/>
        <v>0</v>
      </c>
      <c r="E47" s="454"/>
      <c r="G47" s="460"/>
      <c r="H47" s="454"/>
      <c r="I47" s="454"/>
      <c r="J47" s="454"/>
      <c r="K47" s="454"/>
    </row>
    <row r="48" spans="2:11" ht="26.85" customHeight="1">
      <c r="B48" s="466"/>
      <c r="C48" s="466"/>
      <c r="D48" s="453">
        <f t="shared" si="5"/>
        <v>0</v>
      </c>
      <c r="E48" s="454"/>
      <c r="G48" s="460"/>
      <c r="H48" s="454"/>
      <c r="I48" s="454"/>
      <c r="J48" s="454"/>
      <c r="K48" s="454"/>
    </row>
    <row r="49" spans="2:11" ht="26.85" customHeight="1">
      <c r="B49" s="466"/>
      <c r="C49" s="466"/>
      <c r="D49" s="453">
        <f t="shared" si="5"/>
        <v>0</v>
      </c>
      <c r="E49" s="454"/>
      <c r="G49" s="460"/>
      <c r="H49" s="454"/>
      <c r="I49" s="454"/>
      <c r="J49" s="454"/>
      <c r="K49" s="454"/>
    </row>
    <row r="50" spans="2:11" ht="26.85" customHeight="1">
      <c r="B50" s="466"/>
      <c r="C50" s="466"/>
      <c r="D50" s="453">
        <f t="shared" si="5"/>
        <v>0</v>
      </c>
      <c r="E50" s="454"/>
      <c r="G50" s="460"/>
      <c r="H50" s="454"/>
      <c r="I50" s="454"/>
      <c r="J50" s="454"/>
      <c r="K50" s="454"/>
    </row>
    <row r="51" spans="2:11" ht="26.85" customHeight="1">
      <c r="B51" s="466"/>
      <c r="C51" s="466"/>
      <c r="D51" s="453">
        <f t="shared" si="5"/>
        <v>0</v>
      </c>
      <c r="E51" s="454"/>
      <c r="G51" s="460"/>
      <c r="H51" s="454"/>
      <c r="I51" s="454"/>
      <c r="J51" s="454"/>
      <c r="K51" s="454"/>
    </row>
    <row r="52" spans="2:11" ht="26.85" customHeight="1">
      <c r="B52" s="466"/>
      <c r="C52" s="466"/>
      <c r="D52" s="453" t="str">
        <f t="shared" si="5"/>
        <v>ja</v>
      </c>
      <c r="E52" s="454" t="s">
        <v>845</v>
      </c>
      <c r="F52" s="454" t="s">
        <v>846</v>
      </c>
      <c r="G52" s="460" t="s">
        <v>847</v>
      </c>
      <c r="H52" s="454" t="s">
        <v>848</v>
      </c>
      <c r="I52" s="454" t="str">
        <f>"[fr]"&amp;E52</f>
        <v>[fr]ja</v>
      </c>
      <c r="J52" s="454" t="str">
        <f>"[pt]"&amp;E52</f>
        <v>[pt]ja</v>
      </c>
      <c r="K52" s="454" t="str">
        <f t="shared" ref="K52:K83" si="6">"[gr]"&amp;E52</f>
        <v>[gr]ja</v>
      </c>
    </row>
    <row r="53" spans="2:11" ht="26.85" customHeight="1">
      <c r="B53" s="466"/>
      <c r="C53" s="466"/>
      <c r="D53" s="453" t="str">
        <f t="shared" si="5"/>
        <v>nein</v>
      </c>
      <c r="E53" s="454" t="s">
        <v>849</v>
      </c>
      <c r="F53" s="454" t="s">
        <v>850</v>
      </c>
      <c r="G53" s="460" t="s">
        <v>850</v>
      </c>
      <c r="H53" s="454" t="s">
        <v>851</v>
      </c>
      <c r="I53" s="454" t="s">
        <v>852</v>
      </c>
      <c r="J53" s="454" t="s">
        <v>853</v>
      </c>
      <c r="K53" s="454" t="str">
        <f t="shared" si="6"/>
        <v>[gr]nein</v>
      </c>
    </row>
    <row r="54" spans="2:11" ht="15.75" customHeight="1">
      <c r="D54" s="453" t="str">
        <f t="shared" si="5"/>
        <v>KONTAKT</v>
      </c>
      <c r="E54" s="454" t="s">
        <v>854</v>
      </c>
      <c r="F54" s="454" t="s">
        <v>855</v>
      </c>
      <c r="G54" s="460" t="s">
        <v>856</v>
      </c>
      <c r="H54" s="454" t="s">
        <v>857</v>
      </c>
      <c r="I54" s="454" t="str">
        <f t="shared" ref="I54:I83" si="7">"[fr]"&amp;E54</f>
        <v>[fr]KONTAKT</v>
      </c>
      <c r="J54" s="454" t="str">
        <f t="shared" ref="J54:J81" si="8">"[pt]"&amp;E54</f>
        <v>[pt]KONTAKT</v>
      </c>
      <c r="K54" s="454" t="str">
        <f t="shared" si="6"/>
        <v>[gr]KONTAKT</v>
      </c>
    </row>
    <row r="55" spans="2:11" ht="41.85" customHeight="1">
      <c r="D55" s="453" t="str">
        <f t="shared" si="5"/>
        <v>Fragen zur Bilanz-Erstellung: beratung@gemeinwohl-oekonomie.org (GWÖ-BeraterInnen);</v>
      </c>
      <c r="E55" s="454" t="s">
        <v>858</v>
      </c>
      <c r="F55" s="454" t="s">
        <v>859</v>
      </c>
      <c r="G55" s="460" t="s">
        <v>860</v>
      </c>
      <c r="H55" s="454" t="s">
        <v>861</v>
      </c>
      <c r="I55" s="454" t="str">
        <f t="shared" si="7"/>
        <v>[fr]Fragen zur Bilanz-Erstellung: beratung@gemeinwohl-oekonomie.org (GWÖ-BeraterInnen);</v>
      </c>
      <c r="J55" s="454" t="str">
        <f t="shared" si="8"/>
        <v>[pt]Fragen zur Bilanz-Erstellung: beratung@gemeinwohl-oekonomie.org (GWÖ-BeraterInnen);</v>
      </c>
      <c r="K55" s="454" t="str">
        <f t="shared" si="6"/>
        <v>[gr]Fragen zur Bilanz-Erstellung: beratung@gemeinwohl-oekonomie.org (GWÖ-BeraterInnen);</v>
      </c>
    </row>
    <row r="56" spans="2:11" ht="28.5" customHeight="1">
      <c r="D56" s="453" t="str">
        <f t="shared" si="5"/>
        <v>Fragen zur Auditierung: audit@gemeinwohl-oekonomie.org (GWÖ-AuditorInnen);</v>
      </c>
      <c r="E56" s="454" t="s">
        <v>862</v>
      </c>
      <c r="F56" s="471" t="s">
        <v>863</v>
      </c>
      <c r="G56" s="460" t="s">
        <v>864</v>
      </c>
      <c r="H56" s="454" t="s">
        <v>865</v>
      </c>
      <c r="I56" s="454" t="str">
        <f t="shared" si="7"/>
        <v>[fr]Fragen zur Auditierung: audit@gemeinwohl-oekonomie.org (GWÖ-AuditorInnen);</v>
      </c>
      <c r="J56" s="454" t="str">
        <f t="shared" si="8"/>
        <v>[pt]Fragen zur Auditierung: audit@gemeinwohl-oekonomie.org (GWÖ-AuditorInnen);</v>
      </c>
      <c r="K56" s="454" t="str">
        <f t="shared" si="6"/>
        <v>[gr]Fragen zur Auditierung: audit@gemeinwohl-oekonomie.org (GWÖ-AuditorInnen);</v>
      </c>
    </row>
    <row r="57" spans="2:11" ht="41.85" customHeight="1">
      <c r="D57" s="453" t="str">
        <f t="shared" si="5"/>
        <v>Weiterentwicklung der Matrix: bilanz@ecogood.org (GWÖ-Matrix Entwicklungsteam);</v>
      </c>
      <c r="E57" s="454" t="s">
        <v>866</v>
      </c>
      <c r="F57" s="454" t="str">
        <f>"[it]"&amp;E57</f>
        <v>[it]Weiterentwicklung der Matrix: bilanz@ecogood.org (GWÖ-Matrix Entwicklungsteam);</v>
      </c>
      <c r="G57" s="460" t="s">
        <v>867</v>
      </c>
      <c r="H57" s="454" t="s">
        <v>868</v>
      </c>
      <c r="I57" s="454" t="str">
        <f t="shared" si="7"/>
        <v>[fr]Weiterentwicklung der Matrix: bilanz@ecogood.org (GWÖ-Matrix Entwicklungsteam);</v>
      </c>
      <c r="J57" s="454" t="str">
        <f t="shared" si="8"/>
        <v>[pt]Weiterentwicklung der Matrix: bilanz@ecogood.org (GWÖ-Matrix Entwicklungsteam);</v>
      </c>
      <c r="K57" s="454" t="str">
        <f t="shared" si="6"/>
        <v>[gr]Weiterentwicklung der Matrix: bilanz@ecogood.org (GWÖ-Matrix Entwicklungsteam);</v>
      </c>
    </row>
    <row r="58" spans="2:11" ht="79.349999999999994" customHeight="1">
      <c r="D58" s="453" t="str">
        <f t="shared" si="5"/>
        <v>Excel-Programmierung: Christian Loy (christian.loy@gmx.at); Christian Kozina; Multilanguage-tool: Bernhard Oberrauch</v>
      </c>
      <c r="E58" s="472" t="s">
        <v>869</v>
      </c>
      <c r="F58" s="454" t="s">
        <v>870</v>
      </c>
      <c r="G58" s="460" t="s">
        <v>871</v>
      </c>
      <c r="H58" s="454" t="s">
        <v>872</v>
      </c>
      <c r="I58" s="454" t="str">
        <f t="shared" si="7"/>
        <v>[fr]Excel-Programmierung: Christian Loy (christian.loy@gmx.at); Christian Kozina; Multilanguage-tool: Bernhard Oberrauch</v>
      </c>
      <c r="J58" s="454" t="str">
        <f t="shared" si="8"/>
        <v>[pt]Excel-Programmierung: Christian Loy (christian.loy@gmx.at); Christian Kozina; Multilanguage-tool: Bernhard Oberrauch</v>
      </c>
      <c r="K58" s="454" t="str">
        <f t="shared" si="6"/>
        <v>[gr]Excel-Programmierung: Christian Loy (christian.loy@gmx.at); Christian Kozina; Multilanguage-tool: Bernhard Oberrauch</v>
      </c>
    </row>
    <row r="59" spans="2:11" ht="15.75" customHeight="1">
      <c r="D59" s="453" t="str">
        <f t="shared" si="5"/>
        <v>Inhalte: GWÖ-Matrix Entwicklungsteam</v>
      </c>
      <c r="E59" s="454" t="s">
        <v>873</v>
      </c>
      <c r="F59" s="454" t="str">
        <f>"[it]"&amp;E59</f>
        <v>[it]Inhalte: GWÖ-Matrix Entwicklungsteam</v>
      </c>
      <c r="G59" s="460" t="s">
        <v>874</v>
      </c>
      <c r="H59" s="454" t="s">
        <v>875</v>
      </c>
      <c r="I59" s="454" t="str">
        <f t="shared" si="7"/>
        <v>[fr]Inhalte: GWÖ-Matrix Entwicklungsteam</v>
      </c>
      <c r="J59" s="454" t="str">
        <f t="shared" si="8"/>
        <v>[pt]Inhalte: GWÖ-Matrix Entwicklungsteam</v>
      </c>
      <c r="K59" s="454" t="str">
        <f t="shared" si="6"/>
        <v>[gr]Inhalte: GWÖ-Matrix Entwicklungsteam</v>
      </c>
    </row>
    <row r="60" spans="2:11" ht="15.75" customHeight="1">
      <c r="D60" s="453" t="str">
        <f t="shared" si="5"/>
        <v>ANMERKUNGEN</v>
      </c>
      <c r="E60" s="454" t="s">
        <v>876</v>
      </c>
      <c r="F60" s="454" t="s">
        <v>877</v>
      </c>
      <c r="G60" s="460" t="s">
        <v>878</v>
      </c>
      <c r="H60" s="454" t="s">
        <v>879</v>
      </c>
      <c r="I60" s="454" t="str">
        <f t="shared" si="7"/>
        <v>[fr]ANMERKUNGEN</v>
      </c>
      <c r="J60" s="454" t="str">
        <f t="shared" si="8"/>
        <v>[pt]ANMERKUNGEN</v>
      </c>
      <c r="K60" s="454" t="str">
        <f t="shared" si="6"/>
        <v>[gr]ANMERKUNGEN</v>
      </c>
    </row>
    <row r="61" spans="2:11" ht="68.25" customHeight="1">
      <c r="D61" s="453" t="str">
        <f t="shared" si="5"/>
        <v>Alle Tabellen sind optimiert für den Ausdruck auf A4 (Hoch- oder Querformat).
Die Höhe der Zeilen ist veränderbar, falls Sie mehr Text eingeben wollen.</v>
      </c>
      <c r="E61" s="454" t="s">
        <v>880</v>
      </c>
      <c r="F61" s="454" t="s">
        <v>881</v>
      </c>
      <c r="G61" s="460" t="s">
        <v>882</v>
      </c>
      <c r="H61" s="454" t="s">
        <v>883</v>
      </c>
      <c r="I61" s="454" t="str">
        <f t="shared" si="7"/>
        <v>[fr]Alle Tabellen sind optimiert für den Ausdruck auf A4 (Hoch- oder Querformat).
Die Höhe der Zeilen ist veränderbar, falls Sie mehr Text eingeben wollen.</v>
      </c>
      <c r="J61" s="454" t="str">
        <f t="shared" si="8"/>
        <v>[pt]Alle Tabellen sind optimiert für den Ausdruck auf A4 (Hoch- oder Querformat).
Die Höhe der Zeilen ist veränderbar, falls Sie mehr Text eingeben wollen.</v>
      </c>
      <c r="K61" s="454" t="str">
        <f t="shared" si="6"/>
        <v>[gr]Alle Tabellen sind optimiert für den Ausdruck auf A4 (Hoch- oder Querformat).
Die Höhe der Zeilen ist veränderbar, falls Sie mehr Text eingeben wollen.</v>
      </c>
    </row>
    <row r="62" spans="2:11" ht="15.75" customHeight="1">
      <c r="D62" s="453" t="str">
        <f t="shared" si="5"/>
        <v>ALLGEMEINE ANGABEN ZUM UNTERNEHMEN</v>
      </c>
      <c r="E62" s="454" t="s">
        <v>884</v>
      </c>
      <c r="F62" s="454" t="s">
        <v>885</v>
      </c>
      <c r="G62" s="460" t="s">
        <v>886</v>
      </c>
      <c r="H62" s="454" t="s">
        <v>887</v>
      </c>
      <c r="I62" s="454" t="str">
        <f t="shared" si="7"/>
        <v>[fr]ALLGEMEINE ANGABEN ZUM UNTERNEHMEN</v>
      </c>
      <c r="J62" s="454" t="str">
        <f t="shared" si="8"/>
        <v>[pt]ALLGEMEINE ANGABEN ZUM UNTERNEHMEN</v>
      </c>
      <c r="K62" s="454" t="str">
        <f t="shared" si="6"/>
        <v>[gr]ALLGEMEINE ANGABEN ZUM UNTERNEHMEN</v>
      </c>
    </row>
    <row r="63" spans="2:11" ht="15.75" customHeight="1">
      <c r="D63" s="453" t="str">
        <f t="shared" si="5"/>
        <v>Bitte vollständig ausfüllen!</v>
      </c>
      <c r="E63" s="454" t="s">
        <v>888</v>
      </c>
      <c r="F63" s="454" t="s">
        <v>889</v>
      </c>
      <c r="G63" s="460" t="s">
        <v>890</v>
      </c>
      <c r="H63" s="454" t="s">
        <v>891</v>
      </c>
      <c r="I63" s="454" t="str">
        <f t="shared" si="7"/>
        <v>[fr]Bitte vollständig ausfüllen!</v>
      </c>
      <c r="J63" s="454" t="str">
        <f t="shared" si="8"/>
        <v>[pt]Bitte vollständig ausfüllen!</v>
      </c>
      <c r="K63" s="454" t="str">
        <f t="shared" si="6"/>
        <v>[gr]Bitte vollständig ausfüllen!</v>
      </c>
    </row>
    <row r="64" spans="2:11" ht="15.75" customHeight="1">
      <c r="D64" s="453" t="str">
        <f t="shared" si="5"/>
        <v>Name des Unternehmens:</v>
      </c>
      <c r="E64" s="454" t="s">
        <v>892</v>
      </c>
      <c r="F64" s="454" t="s">
        <v>893</v>
      </c>
      <c r="G64" s="460" t="s">
        <v>894</v>
      </c>
      <c r="H64" s="454" t="s">
        <v>895</v>
      </c>
      <c r="I64" s="454" t="str">
        <f t="shared" si="7"/>
        <v>[fr]Name des Unternehmens:</v>
      </c>
      <c r="J64" s="454" t="str">
        <f t="shared" si="8"/>
        <v>[pt]Name des Unternehmens:</v>
      </c>
      <c r="K64" s="454" t="str">
        <f t="shared" si="6"/>
        <v>[gr]Name des Unternehmens:</v>
      </c>
    </row>
    <row r="65" spans="4:11" ht="15.75" customHeight="1">
      <c r="D65" s="453" t="str">
        <f t="shared" si="5"/>
        <v>Anschrift:</v>
      </c>
      <c r="E65" s="454" t="s">
        <v>896</v>
      </c>
      <c r="F65" s="454" t="s">
        <v>897</v>
      </c>
      <c r="G65" s="460" t="s">
        <v>898</v>
      </c>
      <c r="H65" s="454" t="s">
        <v>899</v>
      </c>
      <c r="I65" s="454" t="str">
        <f t="shared" si="7"/>
        <v>[fr]Anschrift:</v>
      </c>
      <c r="J65" s="454" t="str">
        <f t="shared" si="8"/>
        <v>[pt]Anschrift:</v>
      </c>
      <c r="K65" s="454" t="str">
        <f t="shared" si="6"/>
        <v>[gr]Anschrift:</v>
      </c>
    </row>
    <row r="66" spans="4:11" ht="15.75" customHeight="1">
      <c r="D66" s="453" t="str">
        <f t="shared" si="5"/>
        <v>Staat:</v>
      </c>
      <c r="E66" s="454" t="s">
        <v>900</v>
      </c>
      <c r="F66" s="454" t="s">
        <v>901</v>
      </c>
      <c r="G66" s="460" t="s">
        <v>902</v>
      </c>
      <c r="H66" s="454" t="s">
        <v>903</v>
      </c>
      <c r="I66" s="454" t="str">
        <f t="shared" si="7"/>
        <v>[fr]Staat:</v>
      </c>
      <c r="J66" s="454" t="str">
        <f t="shared" si="8"/>
        <v>[pt]Staat:</v>
      </c>
      <c r="K66" s="454" t="str">
        <f t="shared" si="6"/>
        <v>[gr]Staat:</v>
      </c>
    </row>
    <row r="67" spans="4:11" ht="15.75" customHeight="1">
      <c r="D67" s="453" t="str">
        <f t="shared" si="5"/>
        <v>Branche:</v>
      </c>
      <c r="E67" s="454" t="s">
        <v>904</v>
      </c>
      <c r="F67" s="454" t="s">
        <v>905</v>
      </c>
      <c r="G67" s="460" t="s">
        <v>906</v>
      </c>
      <c r="H67" s="454" t="s">
        <v>907</v>
      </c>
      <c r="I67" s="454" t="str">
        <f t="shared" si="7"/>
        <v>[fr]Branche:</v>
      </c>
      <c r="J67" s="454" t="str">
        <f t="shared" si="8"/>
        <v>[pt]Branche:</v>
      </c>
      <c r="K67" s="454" t="str">
        <f t="shared" si="6"/>
        <v>[gr]Branche:</v>
      </c>
    </row>
    <row r="68" spans="4:11" ht="15.75" customHeight="1">
      <c r="D68" s="453" t="str">
        <f t="shared" si="5"/>
        <v>Website:</v>
      </c>
      <c r="E68" s="454" t="s">
        <v>908</v>
      </c>
      <c r="F68" s="454" t="s">
        <v>909</v>
      </c>
      <c r="G68" s="460" t="s">
        <v>908</v>
      </c>
      <c r="H68" s="454" t="s">
        <v>910</v>
      </c>
      <c r="I68" s="454" t="str">
        <f t="shared" si="7"/>
        <v>[fr]Website:</v>
      </c>
      <c r="J68" s="454" t="str">
        <f t="shared" si="8"/>
        <v>[pt]Website:</v>
      </c>
      <c r="K68" s="454" t="str">
        <f t="shared" si="6"/>
        <v>[gr]Website:</v>
      </c>
    </row>
    <row r="69" spans="4:11" ht="15.75" customHeight="1">
      <c r="D69" s="453" t="str">
        <f t="shared" si="5"/>
        <v>Anzahl der MitarbeiterInnen:</v>
      </c>
      <c r="E69" s="454" t="s">
        <v>911</v>
      </c>
      <c r="F69" s="454" t="s">
        <v>912</v>
      </c>
      <c r="G69" s="460" t="s">
        <v>913</v>
      </c>
      <c r="H69" s="454" t="s">
        <v>914</v>
      </c>
      <c r="I69" s="454" t="str">
        <f t="shared" si="7"/>
        <v>[fr]Anzahl der MitarbeiterInnen:</v>
      </c>
      <c r="J69" s="454" t="str">
        <f t="shared" si="8"/>
        <v>[pt]Anzahl der MitarbeiterInnen:</v>
      </c>
      <c r="K69" s="454" t="str">
        <f t="shared" si="6"/>
        <v>[gr]Anzahl der MitarbeiterInnen:</v>
      </c>
    </row>
    <row r="70" spans="4:11" ht="15.75" customHeight="1">
      <c r="D70" s="453" t="str">
        <f t="shared" si="5"/>
        <v>Ein-Personen-Unternehmen:</v>
      </c>
      <c r="E70" s="454" t="s">
        <v>915</v>
      </c>
      <c r="F70" s="454" t="s">
        <v>916</v>
      </c>
      <c r="G70" s="460" t="s">
        <v>917</v>
      </c>
      <c r="H70" s="454" t="s">
        <v>918</v>
      </c>
      <c r="I70" s="454" t="str">
        <f t="shared" si="7"/>
        <v>[fr]Ein-Personen-Unternehmen:</v>
      </c>
      <c r="J70" s="454" t="str">
        <f t="shared" si="8"/>
        <v>[pt]Ein-Personen-Unternehmen:</v>
      </c>
      <c r="K70" s="454" t="str">
        <f t="shared" si="6"/>
        <v>[gr]Ein-Personen-Unternehmen:</v>
      </c>
    </row>
    <row r="71" spans="4:11" ht="41.85" customHeight="1">
      <c r="D71" s="453" t="str">
        <f t="shared" si="5"/>
        <v>(Hinweis: Wenn ja, werden die für EPUs gültigen Werte automatisch in die Berechnung übernommen.)</v>
      </c>
      <c r="E71" s="454" t="s">
        <v>919</v>
      </c>
      <c r="F71" s="454" t="s">
        <v>920</v>
      </c>
      <c r="G71" s="460" t="s">
        <v>921</v>
      </c>
      <c r="H71" s="454" t="s">
        <v>922</v>
      </c>
      <c r="I71" s="454" t="str">
        <f t="shared" si="7"/>
        <v>[fr](Hinweis: Wenn ja, werden die für EPUs gültigen Werte automatisch in die Berechnung übernommen.)</v>
      </c>
      <c r="J71" s="454" t="str">
        <f t="shared" si="8"/>
        <v>[pt](Hinweis: Wenn ja, werden die für EPUs gültigen Werte automatisch in die Berechnung übernommen.)</v>
      </c>
      <c r="K71" s="454" t="str">
        <f t="shared" si="6"/>
        <v>[gr](Hinweis: Wenn ja, werden die für EPUs gültigen Werte automatisch in die Berechnung übernommen.)</v>
      </c>
    </row>
    <row r="72" spans="4:11" ht="15.75" customHeight="1">
      <c r="D72" s="453" t="str">
        <f t="shared" si="5"/>
        <v>Bilanzjahr:</v>
      </c>
      <c r="E72" s="454" t="s">
        <v>923</v>
      </c>
      <c r="F72" s="454" t="s">
        <v>924</v>
      </c>
      <c r="G72" s="460" t="s">
        <v>925</v>
      </c>
      <c r="H72" s="454" t="s">
        <v>926</v>
      </c>
      <c r="I72" s="454" t="str">
        <f t="shared" si="7"/>
        <v>[fr]Bilanzjahr:</v>
      </c>
      <c r="J72" s="454" t="str">
        <f t="shared" si="8"/>
        <v>[pt]Bilanzjahr:</v>
      </c>
      <c r="K72" s="454" t="str">
        <f t="shared" si="6"/>
        <v>[gr]Bilanzjahr:</v>
      </c>
    </row>
    <row r="73" spans="4:11" ht="15.75" customHeight="1">
      <c r="D73" s="453" t="str">
        <f t="shared" si="5"/>
        <v>ErstellerIn:</v>
      </c>
      <c r="E73" s="454" t="s">
        <v>927</v>
      </c>
      <c r="F73" s="454" t="s">
        <v>928</v>
      </c>
      <c r="G73" s="460" t="s">
        <v>929</v>
      </c>
      <c r="H73" s="454" t="s">
        <v>930</v>
      </c>
      <c r="I73" s="454" t="str">
        <f t="shared" si="7"/>
        <v>[fr]ErstellerIn:</v>
      </c>
      <c r="J73" s="454" t="str">
        <f t="shared" si="8"/>
        <v>[pt]ErstellerIn:</v>
      </c>
      <c r="K73" s="454" t="str">
        <f t="shared" si="6"/>
        <v>[gr]ErstellerIn:</v>
      </c>
    </row>
    <row r="74" spans="4:11" ht="15.75" customHeight="1">
      <c r="D74" s="453" t="str">
        <f t="shared" si="5"/>
        <v>E-Mail-Adresse:</v>
      </c>
      <c r="E74" s="454" t="s">
        <v>931</v>
      </c>
      <c r="F74" s="454" t="s">
        <v>932</v>
      </c>
      <c r="G74" s="460" t="s">
        <v>933</v>
      </c>
      <c r="H74" s="454" t="s">
        <v>934</v>
      </c>
      <c r="I74" s="454" t="str">
        <f t="shared" si="7"/>
        <v>[fr]E-Mail-Adresse:</v>
      </c>
      <c r="J74" s="454" t="str">
        <f t="shared" si="8"/>
        <v>[pt]E-Mail-Adresse:</v>
      </c>
      <c r="K74" s="454" t="str">
        <f t="shared" si="6"/>
        <v>[gr]E-Mail-Adresse:</v>
      </c>
    </row>
    <row r="75" spans="4:11" ht="15.75" customHeight="1">
      <c r="D75" s="453" t="str">
        <f t="shared" si="5"/>
        <v>Telefonnummer:</v>
      </c>
      <c r="E75" s="454" t="s">
        <v>935</v>
      </c>
      <c r="F75" s="454" t="s">
        <v>936</v>
      </c>
      <c r="G75" s="460" t="s">
        <v>937</v>
      </c>
      <c r="H75" s="454" t="s">
        <v>938</v>
      </c>
      <c r="I75" s="454" t="str">
        <f t="shared" si="7"/>
        <v>[fr]Telefonnummer:</v>
      </c>
      <c r="J75" s="454" t="str">
        <f t="shared" si="8"/>
        <v>[pt]Telefonnummer:</v>
      </c>
      <c r="K75" s="454" t="str">
        <f t="shared" si="6"/>
        <v>[gr]Telefonnummer:</v>
      </c>
    </row>
    <row r="76" spans="4:11" ht="15.75" customHeight="1">
      <c r="D76" s="453" t="str">
        <f t="shared" si="5"/>
        <v>BeraterIn:</v>
      </c>
      <c r="E76" s="454" t="s">
        <v>939</v>
      </c>
      <c r="F76" s="454" t="s">
        <v>940</v>
      </c>
      <c r="G76" s="460" t="s">
        <v>941</v>
      </c>
      <c r="H76" s="454" t="s">
        <v>942</v>
      </c>
      <c r="I76" s="454" t="str">
        <f t="shared" si="7"/>
        <v>[fr]BeraterIn:</v>
      </c>
      <c r="J76" s="454" t="str">
        <f t="shared" si="8"/>
        <v>[pt]BeraterIn:</v>
      </c>
      <c r="K76" s="454" t="str">
        <f t="shared" si="6"/>
        <v>[gr]BeraterIn:</v>
      </c>
    </row>
    <row r="77" spans="4:11" ht="15.75" customHeight="1">
      <c r="D77" s="453" t="str">
        <f t="shared" si="5"/>
        <v>E-Mail-Adresse:</v>
      </c>
      <c r="E77" s="454" t="s">
        <v>931</v>
      </c>
      <c r="F77" s="454" t="s">
        <v>932</v>
      </c>
      <c r="G77" s="460" t="s">
        <v>943</v>
      </c>
      <c r="H77" s="454" t="s">
        <v>934</v>
      </c>
      <c r="I77" s="454" t="str">
        <f t="shared" si="7"/>
        <v>[fr]E-Mail-Adresse:</v>
      </c>
      <c r="J77" s="454" t="str">
        <f t="shared" si="8"/>
        <v>[pt]E-Mail-Adresse:</v>
      </c>
      <c r="K77" s="454" t="str">
        <f t="shared" si="6"/>
        <v>[gr]E-Mail-Adresse:</v>
      </c>
    </row>
    <row r="78" spans="4:11" ht="15.75" customHeight="1">
      <c r="D78" s="453" t="str">
        <f t="shared" si="5"/>
        <v>Telefonnummer:</v>
      </c>
      <c r="E78" s="454" t="s">
        <v>935</v>
      </c>
      <c r="F78" s="454" t="s">
        <v>936</v>
      </c>
      <c r="G78" s="460" t="s">
        <v>944</v>
      </c>
      <c r="H78" s="454" t="s">
        <v>938</v>
      </c>
      <c r="I78" s="454" t="str">
        <f t="shared" si="7"/>
        <v>[fr]Telefonnummer:</v>
      </c>
      <c r="J78" s="454" t="str">
        <f t="shared" si="8"/>
        <v>[pt]Telefonnummer:</v>
      </c>
      <c r="K78" s="454" t="str">
        <f t="shared" si="6"/>
        <v>[gr]Telefonnummer:</v>
      </c>
    </row>
    <row r="79" spans="4:11" ht="28.5" customHeight="1">
      <c r="D79" s="453" t="str">
        <f t="shared" si="5"/>
        <v>Kurzbeschreibung
des Unternehmens:</v>
      </c>
      <c r="E79" s="454" t="s">
        <v>945</v>
      </c>
      <c r="F79" s="454" t="s">
        <v>946</v>
      </c>
      <c r="G79" s="460" t="s">
        <v>947</v>
      </c>
      <c r="H79" s="454" t="s">
        <v>948</v>
      </c>
      <c r="I79" s="454" t="str">
        <f t="shared" si="7"/>
        <v>[fr]Kurzbeschreibung
des Unternehmens:</v>
      </c>
      <c r="J79" s="454" t="str">
        <f t="shared" si="8"/>
        <v>[pt]Kurzbeschreibung
des Unternehmens:</v>
      </c>
      <c r="K79" s="454" t="str">
        <f t="shared" si="6"/>
        <v>[gr]Kurzbeschreibung
des Unternehmens:</v>
      </c>
    </row>
    <row r="80" spans="4:11" ht="15.75" customHeight="1">
      <c r="D80" s="453" t="str">
        <f t="shared" si="5"/>
        <v>Sonstige Anmerkungen:</v>
      </c>
      <c r="E80" s="454" t="s">
        <v>949</v>
      </c>
      <c r="F80" s="454" t="s">
        <v>950</v>
      </c>
      <c r="G80" s="460" t="s">
        <v>951</v>
      </c>
      <c r="H80" s="454" t="s">
        <v>952</v>
      </c>
      <c r="I80" s="454" t="str">
        <f t="shared" si="7"/>
        <v>[fr]Sonstige Anmerkungen:</v>
      </c>
      <c r="J80" s="454" t="str">
        <f t="shared" si="8"/>
        <v>[pt]Sonstige Anmerkungen:</v>
      </c>
      <c r="K80" s="454" t="str">
        <f t="shared" si="6"/>
        <v>[gr]Sonstige Anmerkungen:</v>
      </c>
    </row>
    <row r="81" spans="4:11" ht="15.75" customHeight="1">
      <c r="D81" s="453" t="str">
        <f t="shared" si="5"/>
        <v>BERECHNUNG DER EINZELNEN THEMEN</v>
      </c>
      <c r="E81" s="459" t="s">
        <v>953</v>
      </c>
      <c r="F81" s="454" t="s">
        <v>954</v>
      </c>
      <c r="G81" s="460" t="s">
        <v>955</v>
      </c>
      <c r="H81" s="454" t="s">
        <v>956</v>
      </c>
      <c r="I81" s="454" t="str">
        <f t="shared" si="7"/>
        <v>[fr]BERECHNUNG DER EINZELNEN THEMEN</v>
      </c>
      <c r="J81" s="454" t="str">
        <f t="shared" si="8"/>
        <v>[pt]BERECHNUNG DER EINZELNEN THEMEN</v>
      </c>
      <c r="K81" s="454" t="str">
        <f t="shared" si="6"/>
        <v>[gr]BERECHNUNG DER EINZELNEN THEMEN</v>
      </c>
    </row>
    <row r="82" spans="4:11" ht="15.75" customHeight="1">
      <c r="D82" s="453" t="str">
        <f t="shared" si="5"/>
        <v>Unternehmen</v>
      </c>
      <c r="E82" s="454" t="s">
        <v>957</v>
      </c>
      <c r="F82" s="454" t="s">
        <v>958</v>
      </c>
      <c r="G82" s="460" t="s">
        <v>959</v>
      </c>
      <c r="H82" s="454" t="s">
        <v>960</v>
      </c>
      <c r="I82" s="454" t="str">
        <f t="shared" si="7"/>
        <v>[fr]Unternehmen</v>
      </c>
      <c r="J82" s="454" t="s">
        <v>961</v>
      </c>
      <c r="K82" s="454" t="str">
        <f t="shared" si="6"/>
        <v>[gr]Unternehmen</v>
      </c>
    </row>
    <row r="83" spans="4:11" ht="15.75" customHeight="1">
      <c r="D83" s="453" t="str">
        <f t="shared" si="5"/>
        <v>Bilanz-Jahr</v>
      </c>
      <c r="E83" s="454" t="s">
        <v>962</v>
      </c>
      <c r="F83" s="454" t="s">
        <v>963</v>
      </c>
      <c r="G83" s="460" t="s">
        <v>964</v>
      </c>
      <c r="H83" s="454" t="s">
        <v>926</v>
      </c>
      <c r="I83" s="454" t="str">
        <f t="shared" si="7"/>
        <v>[fr]Bilanz-Jahr</v>
      </c>
      <c r="J83" s="454" t="s">
        <v>965</v>
      </c>
      <c r="K83" s="454" t="str">
        <f t="shared" si="6"/>
        <v>[gr]Bilanz-Jahr</v>
      </c>
    </row>
    <row r="84" spans="4:11" ht="15.75" customHeight="1">
      <c r="D84" s="453">
        <f t="shared" si="5"/>
        <v>0</v>
      </c>
      <c r="E84" s="454"/>
      <c r="G84" s="460"/>
      <c r="H84" s="454"/>
      <c r="I84" s="454"/>
      <c r="J84" s="454"/>
      <c r="K84" s="454"/>
    </row>
    <row r="85" spans="4:11" ht="15.75" customHeight="1">
      <c r="D85" s="453">
        <f t="shared" si="5"/>
        <v>0</v>
      </c>
      <c r="E85" s="454"/>
      <c r="G85" s="460"/>
      <c r="H85" s="454"/>
      <c r="I85" s="454"/>
      <c r="J85" s="454"/>
      <c r="K85" s="454"/>
    </row>
    <row r="86" spans="4:11" ht="15.75" customHeight="1">
      <c r="D86" s="453">
        <f t="shared" si="5"/>
        <v>0</v>
      </c>
      <c r="E86" s="454"/>
      <c r="G86" s="460"/>
      <c r="H86" s="454"/>
      <c r="I86" s="454"/>
      <c r="J86" s="454"/>
      <c r="K86" s="454"/>
    </row>
    <row r="87" spans="4:11" ht="15.75" customHeight="1">
      <c r="D87" s="453">
        <f t="shared" si="5"/>
        <v>0</v>
      </c>
      <c r="E87" s="454"/>
      <c r="G87" s="460"/>
      <c r="H87" s="454"/>
      <c r="I87" s="454"/>
      <c r="J87" s="454"/>
      <c r="K87" s="454"/>
    </row>
    <row r="88" spans="4:11" ht="15.75" customHeight="1">
      <c r="D88" s="453">
        <f t="shared" si="5"/>
        <v>0</v>
      </c>
      <c r="E88" s="454"/>
      <c r="G88" s="460"/>
      <c r="H88" s="454"/>
      <c r="I88" s="454"/>
      <c r="J88" s="454"/>
      <c r="K88" s="454"/>
    </row>
    <row r="89" spans="4:11" ht="15.75" customHeight="1">
      <c r="D89" s="453">
        <f t="shared" si="5"/>
        <v>0</v>
      </c>
      <c r="E89" s="454"/>
      <c r="G89" s="460"/>
      <c r="H89" s="454"/>
      <c r="I89" s="454"/>
      <c r="J89" s="454"/>
      <c r="K89" s="454"/>
    </row>
    <row r="90" spans="4:11" ht="15.75" customHeight="1">
      <c r="D90" s="453" t="str">
        <f t="shared" si="5"/>
        <v>BERECHNUNG DER EINZELNEN ASPEKTE</v>
      </c>
      <c r="E90" s="454" t="s">
        <v>966</v>
      </c>
      <c r="F90" s="454" t="s">
        <v>967</v>
      </c>
      <c r="G90" s="460" t="s">
        <v>968</v>
      </c>
      <c r="H90" s="454" t="s">
        <v>969</v>
      </c>
      <c r="I90" s="454" t="str">
        <f t="shared" ref="I90:I158" si="9">"[fr]"&amp;E90</f>
        <v>[fr]BERECHNUNG DER EINZELNEN ASPEKTE</v>
      </c>
      <c r="J90" s="473" t="s">
        <v>970</v>
      </c>
      <c r="K90" s="454" t="str">
        <f t="shared" ref="K90:K122" si="10">"[gr]"&amp;E90</f>
        <v>[gr]BERECHNUNG DER EINZELNEN ASPEKTE</v>
      </c>
    </row>
    <row r="91" spans="4:11" ht="15.75" customHeight="1">
      <c r="D91" s="453" t="str">
        <f t="shared" si="5"/>
        <v>Gemeinwohl-Bilanz-Rechner</v>
      </c>
      <c r="E91" s="454" t="s">
        <v>971</v>
      </c>
      <c r="F91" s="461" t="s">
        <v>972</v>
      </c>
      <c r="G91" s="460" t="s">
        <v>973</v>
      </c>
      <c r="H91" s="454" t="s">
        <v>974</v>
      </c>
      <c r="I91" s="454" t="str">
        <f t="shared" si="9"/>
        <v>[fr]Gemeinwohl-Bilanz-Rechner</v>
      </c>
      <c r="J91" s="454" t="s">
        <v>975</v>
      </c>
      <c r="K91" s="454" t="str">
        <f t="shared" si="10"/>
        <v>[gr]Gemeinwohl-Bilanz-Rechner</v>
      </c>
    </row>
    <row r="92" spans="4:11" ht="15.75" customHeight="1">
      <c r="D92" s="453" t="str">
        <f t="shared" si="5"/>
        <v>BILANZSUMME:</v>
      </c>
      <c r="E92" s="454" t="s">
        <v>976</v>
      </c>
      <c r="F92" s="454" t="s">
        <v>977</v>
      </c>
      <c r="G92" s="460" t="s">
        <v>978</v>
      </c>
      <c r="H92" s="454" t="s">
        <v>979</v>
      </c>
      <c r="I92" s="454" t="str">
        <f t="shared" si="9"/>
        <v>[fr]BILANZSUMME:</v>
      </c>
      <c r="J92" s="454" t="s">
        <v>980</v>
      </c>
      <c r="K92" s="454" t="str">
        <f t="shared" si="10"/>
        <v>[gr]BILANZSUMME:</v>
      </c>
    </row>
    <row r="93" spans="4:11" ht="15.75" customHeight="1">
      <c r="D93" s="453" t="str">
        <f t="shared" si="5"/>
        <v>Nr.</v>
      </c>
      <c r="E93" s="454" t="s">
        <v>981</v>
      </c>
      <c r="F93" s="454" t="s">
        <v>982</v>
      </c>
      <c r="G93" s="460" t="s">
        <v>983</v>
      </c>
      <c r="H93" s="454" t="s">
        <v>984</v>
      </c>
      <c r="I93" s="454" t="str">
        <f t="shared" si="9"/>
        <v>[fr]Nr.</v>
      </c>
      <c r="J93" s="454" t="str">
        <f>"[pt]"&amp;E93</f>
        <v>[pt]Nr.</v>
      </c>
      <c r="K93" s="454" t="str">
        <f t="shared" si="10"/>
        <v>[gr]Nr.</v>
      </c>
    </row>
    <row r="94" spans="4:11" ht="15.75" customHeight="1">
      <c r="D94" s="453" t="str">
        <f t="shared" si="5"/>
        <v>Berührungsgruppe</v>
      </c>
      <c r="E94" s="454" t="s">
        <v>985</v>
      </c>
      <c r="F94" s="454" t="s">
        <v>986</v>
      </c>
      <c r="G94" s="460" t="s">
        <v>987</v>
      </c>
      <c r="H94" s="454" t="s">
        <v>988</v>
      </c>
      <c r="I94" s="454" t="str">
        <f t="shared" si="9"/>
        <v>[fr]Berührungsgruppe</v>
      </c>
      <c r="J94" s="454" t="str">
        <f>"[pt]"&amp;E94</f>
        <v>[pt]Berührungsgruppe</v>
      </c>
      <c r="K94" s="454" t="str">
        <f t="shared" si="10"/>
        <v>[gr]Berührungsgruppe</v>
      </c>
    </row>
    <row r="95" spans="4:11" ht="15.75" customHeight="1">
      <c r="D95" s="453" t="str">
        <f t="shared" si="5"/>
        <v>Berührungsgruppe/Themen/Aspekte</v>
      </c>
      <c r="E95" s="459" t="s">
        <v>989</v>
      </c>
      <c r="F95" s="454" t="s">
        <v>990</v>
      </c>
      <c r="G95" s="460" t="s">
        <v>991</v>
      </c>
      <c r="H95" s="454" t="s">
        <v>992</v>
      </c>
      <c r="I95" s="454" t="str">
        <f t="shared" si="9"/>
        <v>[fr]Berührungsgruppe/Themen/Aspekte</v>
      </c>
      <c r="J95" s="454" t="str">
        <f>"[pt]"&amp;E95</f>
        <v>[pt]Berührungsgruppe/Themen/Aspekte</v>
      </c>
      <c r="K95" s="454" t="str">
        <f t="shared" si="10"/>
        <v>[gr]Berührungsgruppe/Themen/Aspekte</v>
      </c>
    </row>
    <row r="96" spans="4:11" ht="15.75" customHeight="1">
      <c r="D96" s="453" t="str">
        <f t="shared" si="5"/>
        <v>Gewichtung</v>
      </c>
      <c r="E96" s="454" t="s">
        <v>993</v>
      </c>
      <c r="F96" s="454" t="s">
        <v>994</v>
      </c>
      <c r="G96" s="460" t="s">
        <v>995</v>
      </c>
      <c r="H96" s="454" t="s">
        <v>996</v>
      </c>
      <c r="I96" s="454" t="str">
        <f t="shared" si="9"/>
        <v>[fr]Gewichtung</v>
      </c>
      <c r="J96" s="454" t="s">
        <v>994</v>
      </c>
      <c r="K96" s="454" t="str">
        <f t="shared" si="10"/>
        <v>[gr]Gewichtung</v>
      </c>
    </row>
    <row r="97" spans="2:11" ht="15.75" customHeight="1">
      <c r="C97" s="474">
        <v>4</v>
      </c>
      <c r="D97" s="453" t="str">
        <f t="shared" si="5"/>
        <v>sehr hoch</v>
      </c>
      <c r="E97" s="454" t="s">
        <v>152</v>
      </c>
      <c r="F97" s="454" t="s">
        <v>997</v>
      </c>
      <c r="G97" s="460" t="s">
        <v>998</v>
      </c>
      <c r="H97" s="454" t="s">
        <v>999</v>
      </c>
      <c r="I97" s="454" t="str">
        <f t="shared" si="9"/>
        <v>[fr]sehr hoch</v>
      </c>
      <c r="J97" s="454" t="str">
        <f>"[pt]"&amp;E97</f>
        <v>[pt]sehr hoch</v>
      </c>
      <c r="K97" s="454" t="str">
        <f t="shared" si="10"/>
        <v>[gr]sehr hoch</v>
      </c>
    </row>
    <row r="98" spans="2:11" ht="15.75" customHeight="1">
      <c r="C98" s="474">
        <v>3</v>
      </c>
      <c r="D98" s="453" t="str">
        <f t="shared" si="5"/>
        <v>hoch</v>
      </c>
      <c r="E98" s="454" t="s">
        <v>151</v>
      </c>
      <c r="F98" s="454" t="s">
        <v>1000</v>
      </c>
      <c r="G98" s="460" t="s">
        <v>1001</v>
      </c>
      <c r="H98" s="454" t="s">
        <v>1002</v>
      </c>
      <c r="I98" s="454" t="str">
        <f t="shared" si="9"/>
        <v>[fr]hoch</v>
      </c>
      <c r="J98" s="454" t="str">
        <f>"[pt]"&amp;E98</f>
        <v>[pt]hoch</v>
      </c>
      <c r="K98" s="454" t="str">
        <f t="shared" si="10"/>
        <v>[gr]hoch</v>
      </c>
    </row>
    <row r="99" spans="2:11" ht="15.75" customHeight="1">
      <c r="C99" s="474">
        <v>2</v>
      </c>
      <c r="D99" s="453" t="str">
        <f t="shared" si="5"/>
        <v>mittel</v>
      </c>
      <c r="E99" s="454" t="s">
        <v>150</v>
      </c>
      <c r="F99" s="454" t="s">
        <v>1003</v>
      </c>
      <c r="G99" s="460" t="s">
        <v>1004</v>
      </c>
      <c r="H99" s="454" t="s">
        <v>1005</v>
      </c>
      <c r="I99" s="454" t="str">
        <f t="shared" si="9"/>
        <v>[fr]mittel</v>
      </c>
      <c r="J99" s="454" t="str">
        <f>"[pt]"&amp;E99</f>
        <v>[pt]mittel</v>
      </c>
      <c r="K99" s="454" t="str">
        <f t="shared" si="10"/>
        <v>[gr]mittel</v>
      </c>
    </row>
    <row r="100" spans="2:11" ht="15.75" customHeight="1">
      <c r="C100" s="474">
        <v>1</v>
      </c>
      <c r="D100" s="453" t="str">
        <f t="shared" si="5"/>
        <v>niedrig</v>
      </c>
      <c r="E100" s="454" t="s">
        <v>149</v>
      </c>
      <c r="F100" s="454" t="s">
        <v>1006</v>
      </c>
      <c r="G100" s="460" t="s">
        <v>1007</v>
      </c>
      <c r="H100" s="454" t="s">
        <v>1008</v>
      </c>
      <c r="I100" s="454" t="str">
        <f t="shared" si="9"/>
        <v>[fr]niedrig</v>
      </c>
      <c r="J100" s="454" t="str">
        <f>"[pt]"&amp;E100</f>
        <v>[pt]niedrig</v>
      </c>
      <c r="K100" s="454" t="str">
        <f t="shared" si="10"/>
        <v>[gr]niedrig</v>
      </c>
    </row>
    <row r="101" spans="2:11" ht="15.75" customHeight="1">
      <c r="C101" s="474">
        <v>0</v>
      </c>
      <c r="D101" s="453" t="str">
        <f t="shared" si="5"/>
        <v>trifft nicht zu</v>
      </c>
      <c r="E101" s="454" t="s">
        <v>148</v>
      </c>
      <c r="F101" s="454" t="s">
        <v>1009</v>
      </c>
      <c r="G101" s="460" t="s">
        <v>1010</v>
      </c>
      <c r="H101" s="454" t="s">
        <v>1011</v>
      </c>
      <c r="I101" s="454" t="str">
        <f t="shared" si="9"/>
        <v>[fr]trifft nicht zu</v>
      </c>
      <c r="J101" s="454" t="str">
        <f>"[pt]"&amp;E101</f>
        <v>[pt]trifft nicht zu</v>
      </c>
      <c r="K101" s="454" t="str">
        <f t="shared" si="10"/>
        <v>[gr]trifft nicht zu</v>
      </c>
    </row>
    <row r="102" spans="2:11" ht="15.75" customHeight="1">
      <c r="D102" s="453" t="str">
        <f t="shared" si="5"/>
        <v>Erläuterung</v>
      </c>
      <c r="E102" s="459" t="s">
        <v>1012</v>
      </c>
      <c r="F102" s="454" t="s">
        <v>1013</v>
      </c>
      <c r="G102" s="460" t="s">
        <v>1014</v>
      </c>
      <c r="H102" s="454" t="s">
        <v>1015</v>
      </c>
      <c r="I102" s="454" t="str">
        <f t="shared" si="9"/>
        <v>[fr]Erläuterung</v>
      </c>
      <c r="J102" s="475" t="s">
        <v>1016</v>
      </c>
      <c r="K102" s="454" t="str">
        <f t="shared" si="10"/>
        <v>[gr]Erläuterung</v>
      </c>
    </row>
    <row r="103" spans="2:11" ht="15.75" customHeight="1">
      <c r="D103" s="453" t="str">
        <f t="shared" si="5"/>
        <v>Verbesserungspotenzial</v>
      </c>
      <c r="E103" s="454" t="s">
        <v>1017</v>
      </c>
      <c r="F103" s="454" t="s">
        <v>1018</v>
      </c>
      <c r="G103" s="460" t="s">
        <v>1019</v>
      </c>
      <c r="H103" s="454" t="s">
        <v>1020</v>
      </c>
      <c r="I103" s="454" t="str">
        <f t="shared" si="9"/>
        <v>[fr]Verbesserungspotenzial</v>
      </c>
      <c r="J103" s="454" t="s">
        <v>1021</v>
      </c>
      <c r="K103" s="454" t="str">
        <f t="shared" si="10"/>
        <v>[gr]Verbesserungspotenzial</v>
      </c>
    </row>
    <row r="104" spans="2:11" ht="15.75" customHeight="1">
      <c r="D104" s="453" t="str">
        <f t="shared" si="5"/>
        <v>Erfüll.</v>
      </c>
      <c r="E104" s="454" t="s">
        <v>1022</v>
      </c>
      <c r="F104" s="454" t="s">
        <v>1023</v>
      </c>
      <c r="G104" s="460" t="s">
        <v>1024</v>
      </c>
      <c r="H104" s="454" t="s">
        <v>1025</v>
      </c>
      <c r="I104" s="454" t="str">
        <f t="shared" si="9"/>
        <v>[fr]Erfüll.</v>
      </c>
      <c r="J104" s="454" t="str">
        <f>"[pt]"&amp;E104</f>
        <v>[pt]Erfüll.</v>
      </c>
      <c r="K104" s="454" t="str">
        <f t="shared" si="10"/>
        <v>[gr]Erfüll.</v>
      </c>
    </row>
    <row r="105" spans="2:11" ht="15.75" customHeight="1">
      <c r="D105" s="453" t="str">
        <f t="shared" si="5"/>
        <v>Pkte</v>
      </c>
      <c r="E105" s="454" t="s">
        <v>1026</v>
      </c>
      <c r="F105" s="454" t="s">
        <v>1027</v>
      </c>
      <c r="G105" s="460" t="s">
        <v>1028</v>
      </c>
      <c r="H105" s="454" t="s">
        <v>1029</v>
      </c>
      <c r="I105" s="454" t="str">
        <f t="shared" si="9"/>
        <v>[fr]Pkte</v>
      </c>
      <c r="J105" s="454" t="str">
        <f>"[pt]"&amp;E105</f>
        <v>[pt]Pkte</v>
      </c>
      <c r="K105" s="454" t="str">
        <f t="shared" si="10"/>
        <v>[gr]Pkte</v>
      </c>
    </row>
    <row r="106" spans="2:11" ht="15.75" customHeight="1">
      <c r="D106" s="453" t="str">
        <f t="shared" si="5"/>
        <v>Max.</v>
      </c>
      <c r="E106" s="454" t="s">
        <v>1030</v>
      </c>
      <c r="F106" s="454" t="s">
        <v>1030</v>
      </c>
      <c r="G106" s="460" t="s">
        <v>1030</v>
      </c>
      <c r="H106" s="454" t="s">
        <v>1030</v>
      </c>
      <c r="I106" s="454" t="str">
        <f t="shared" si="9"/>
        <v>[fr]Max.</v>
      </c>
      <c r="J106" s="454" t="str">
        <f>"[pt]"&amp;E106</f>
        <v>[pt]Max.</v>
      </c>
      <c r="K106" s="454" t="str">
        <f t="shared" si="10"/>
        <v>[gr]Max.</v>
      </c>
    </row>
    <row r="107" spans="2:11" ht="15.75" customHeight="1">
      <c r="D107" s="453" t="str">
        <f t="shared" si="5"/>
        <v>Berührungsgruppe/Themen/Aspekte</v>
      </c>
      <c r="E107" s="454" t="s">
        <v>989</v>
      </c>
      <c r="F107" s="454" t="s">
        <v>1031</v>
      </c>
      <c r="G107" s="460" t="s">
        <v>1032</v>
      </c>
      <c r="H107" s="454" t="s">
        <v>992</v>
      </c>
      <c r="I107" s="454" t="str">
        <f t="shared" si="9"/>
        <v>[fr]Berührungsgruppe/Themen/Aspekte</v>
      </c>
      <c r="J107" s="454" t="s">
        <v>1033</v>
      </c>
      <c r="K107" s="454" t="str">
        <f t="shared" si="10"/>
        <v>[gr]Berührungsgruppe/Themen/Aspekte</v>
      </c>
    </row>
    <row r="108" spans="2:11" ht="15.75" customHeight="1">
      <c r="B108" s="476" t="str">
        <f>C108&amp;": "&amp;D108</f>
        <v>A: Lieferant*innen</v>
      </c>
      <c r="C108" s="477" t="s">
        <v>13</v>
      </c>
      <c r="D108" s="453" t="str">
        <f t="shared" si="5"/>
        <v>Lieferant*innen</v>
      </c>
      <c r="E108" s="478" t="s">
        <v>1034</v>
      </c>
      <c r="F108" s="479" t="s">
        <v>1035</v>
      </c>
      <c r="G108" s="460" t="s">
        <v>1036</v>
      </c>
      <c r="H108" s="454" t="s">
        <v>1037</v>
      </c>
      <c r="I108" s="454" t="str">
        <f t="shared" si="9"/>
        <v>[fr]Lieferant*innen</v>
      </c>
      <c r="J108" s="480" t="s">
        <v>1038</v>
      </c>
      <c r="K108" s="454" t="str">
        <f t="shared" si="10"/>
        <v>[gr]Lieferant*innen</v>
      </c>
    </row>
    <row r="109" spans="2:11" ht="28.5" customHeight="1">
      <c r="B109" s="451" t="str">
        <f>C109&amp;": "&amp;D109</f>
        <v>A1: Menschenwürde in der Zulieferkette</v>
      </c>
      <c r="C109" s="481" t="s">
        <v>14</v>
      </c>
      <c r="D109" s="453" t="str">
        <f t="shared" si="5"/>
        <v>Menschenwürde in der Zulieferkette</v>
      </c>
      <c r="E109" s="482" t="s">
        <v>1039</v>
      </c>
      <c r="F109" s="483" t="s">
        <v>1040</v>
      </c>
      <c r="G109" s="460" t="s">
        <v>1041</v>
      </c>
      <c r="H109" s="454" t="s">
        <v>1042</v>
      </c>
      <c r="I109" s="454" t="str">
        <f t="shared" si="9"/>
        <v>[fr]Menschenwürde in der Zulieferkette</v>
      </c>
      <c r="J109" s="484" t="s">
        <v>1043</v>
      </c>
      <c r="K109" s="454" t="str">
        <f t="shared" si="10"/>
        <v>[gr]Menschenwürde in der Zulieferkette</v>
      </c>
    </row>
    <row r="110" spans="2:11" ht="28.5" customHeight="1">
      <c r="C110" s="485" t="s">
        <v>15</v>
      </c>
      <c r="D110" s="453" t="str">
        <f t="shared" si="5"/>
        <v>Arbeitsbedingungen und gesellschaftliche Auswirkungen in der Zulieferkette</v>
      </c>
      <c r="E110" s="485" t="s">
        <v>1044</v>
      </c>
      <c r="F110" s="454" t="s">
        <v>1045</v>
      </c>
      <c r="G110" s="460" t="s">
        <v>1046</v>
      </c>
      <c r="H110" s="454" t="s">
        <v>1047</v>
      </c>
      <c r="I110" s="454" t="str">
        <f t="shared" si="9"/>
        <v>[fr]Arbeitsbedingungen und gesellschaftliche Auswirkungen in der Zulieferkette</v>
      </c>
      <c r="J110" s="486" t="s">
        <v>1048</v>
      </c>
      <c r="K110" s="454" t="str">
        <f t="shared" si="10"/>
        <v>[gr]Arbeitsbedingungen und gesellschaftliche Auswirkungen in der Zulieferkette</v>
      </c>
    </row>
    <row r="111" spans="2:11" ht="28.5" customHeight="1">
      <c r="C111" s="485" t="s">
        <v>16</v>
      </c>
      <c r="D111" s="453" t="str">
        <f t="shared" si="5"/>
        <v>Negativ-Aspekt: Verletzung der Menschenwürde in der Zulieferkette</v>
      </c>
      <c r="E111" s="485" t="s">
        <v>1049</v>
      </c>
      <c r="F111" s="460" t="s">
        <v>1050</v>
      </c>
      <c r="G111" s="460" t="s">
        <v>1051</v>
      </c>
      <c r="H111" s="454" t="s">
        <v>1052</v>
      </c>
      <c r="I111" s="454" t="str">
        <f t="shared" si="9"/>
        <v>[fr]Negativ-Aspekt: Verletzung der Menschenwürde in der Zulieferkette</v>
      </c>
      <c r="J111" s="486" t="s">
        <v>1053</v>
      </c>
      <c r="K111" s="454" t="str">
        <f t="shared" si="10"/>
        <v>[gr]Negativ-Aspekt: Verletzung der Menschenwürde in der Zulieferkette</v>
      </c>
    </row>
    <row r="112" spans="2:11" ht="28.5" customHeight="1">
      <c r="B112" s="451" t="str">
        <f>C112&amp;": "&amp;D112</f>
        <v>A2: Solidarität und Gerechtigkeit in der Zulieferkette</v>
      </c>
      <c r="C112" s="481" t="s">
        <v>17</v>
      </c>
      <c r="D112" s="453" t="str">
        <f t="shared" si="5"/>
        <v>Solidarität und Gerechtigkeit in der Zulieferkette</v>
      </c>
      <c r="E112" s="482" t="s">
        <v>1054</v>
      </c>
      <c r="F112" s="483" t="s">
        <v>1055</v>
      </c>
      <c r="G112" s="460" t="s">
        <v>1056</v>
      </c>
      <c r="H112" s="454" t="s">
        <v>1057</v>
      </c>
      <c r="I112" s="454" t="str">
        <f t="shared" si="9"/>
        <v>[fr]Solidarität und Gerechtigkeit in der Zulieferkette</v>
      </c>
      <c r="J112" s="484" t="s">
        <v>1058</v>
      </c>
      <c r="K112" s="454" t="str">
        <f t="shared" si="10"/>
        <v>[gr]Solidarität und Gerechtigkeit in der Zulieferkette</v>
      </c>
    </row>
    <row r="113" spans="2:12" ht="28.5" customHeight="1">
      <c r="C113" s="485" t="s">
        <v>18</v>
      </c>
      <c r="D113" s="453" t="str">
        <f t="shared" si="5"/>
        <v>Faire Geschäftsbeziehungen zu direkten Lieferant*innen</v>
      </c>
      <c r="E113" s="485" t="s">
        <v>1059</v>
      </c>
      <c r="F113" s="454" t="s">
        <v>1060</v>
      </c>
      <c r="G113" s="460" t="s">
        <v>1061</v>
      </c>
      <c r="H113" s="454" t="s">
        <v>1062</v>
      </c>
      <c r="I113" s="454" t="str">
        <f t="shared" si="9"/>
        <v>[fr]Faire Geschäftsbeziehungen zu direkten Lieferant*innen</v>
      </c>
      <c r="J113" s="486" t="s">
        <v>1063</v>
      </c>
      <c r="K113" s="454" t="str">
        <f t="shared" si="10"/>
        <v>[gr]Faire Geschäftsbeziehungen zu direkten Lieferant*innen</v>
      </c>
    </row>
    <row r="114" spans="2:12" ht="28.5" customHeight="1">
      <c r="C114" s="485" t="s">
        <v>19</v>
      </c>
      <c r="D114" s="453" t="str">
        <f t="shared" si="5"/>
        <v>Positive Einflussnahme auf Solidarität und Gerechtigkeit in der gesamten Zulieferkette</v>
      </c>
      <c r="E114" s="485" t="s">
        <v>1064</v>
      </c>
      <c r="F114" s="454" t="s">
        <v>1065</v>
      </c>
      <c r="G114" s="460" t="s">
        <v>1066</v>
      </c>
      <c r="H114" s="454" t="s">
        <v>1067</v>
      </c>
      <c r="I114" s="454" t="str">
        <f t="shared" si="9"/>
        <v>[fr]Positive Einflussnahme auf Solidarität und Gerechtigkeit in der gesamten Zulieferkette</v>
      </c>
      <c r="J114" s="486" t="s">
        <v>1068</v>
      </c>
      <c r="K114" s="454" t="str">
        <f t="shared" si="10"/>
        <v>[gr]Positive Einflussnahme auf Solidarität und Gerechtigkeit in der gesamten Zulieferkette</v>
      </c>
    </row>
    <row r="115" spans="2:12" ht="28.5" customHeight="1">
      <c r="C115" s="485" t="s">
        <v>20</v>
      </c>
      <c r="D115" s="453" t="str">
        <f t="shared" si="5"/>
        <v>Negativ-Aspekt: Ausnutzung der Marktmacht gegenüber Lieferant*innen</v>
      </c>
      <c r="E115" s="485" t="s">
        <v>1069</v>
      </c>
      <c r="F115" s="454" t="s">
        <v>1070</v>
      </c>
      <c r="G115" s="460" t="s">
        <v>1071</v>
      </c>
      <c r="H115" s="454" t="s">
        <v>1072</v>
      </c>
      <c r="I115" s="454" t="str">
        <f t="shared" si="9"/>
        <v>[fr]Negativ-Aspekt: Ausnutzung der Marktmacht gegenüber Lieferant*innen</v>
      </c>
      <c r="J115" s="486" t="s">
        <v>1073</v>
      </c>
      <c r="K115" s="454" t="str">
        <f t="shared" si="10"/>
        <v>[gr]Negativ-Aspekt: Ausnutzung der Marktmacht gegenüber Lieferant*innen</v>
      </c>
    </row>
    <row r="116" spans="2:12" ht="28.5" customHeight="1">
      <c r="B116" s="451" t="str">
        <f>C116&amp;": "&amp;D116</f>
        <v>A3: Ökologische Nachhaltigkeit in der Zulieferkette</v>
      </c>
      <c r="C116" s="481" t="s">
        <v>21</v>
      </c>
      <c r="D116" s="453" t="str">
        <f t="shared" si="5"/>
        <v>Ökologische Nachhaltigkeit in der Zulieferkette</v>
      </c>
      <c r="E116" s="482" t="s">
        <v>1074</v>
      </c>
      <c r="F116" s="483" t="s">
        <v>1075</v>
      </c>
      <c r="G116" s="460" t="s">
        <v>1076</v>
      </c>
      <c r="H116" s="454" t="s">
        <v>1077</v>
      </c>
      <c r="I116" s="454" t="str">
        <f t="shared" si="9"/>
        <v>[fr]Ökologische Nachhaltigkeit in der Zulieferkette</v>
      </c>
      <c r="J116" s="484" t="s">
        <v>1078</v>
      </c>
      <c r="K116" s="454" t="str">
        <f t="shared" si="10"/>
        <v>[gr]Ökologische Nachhaltigkeit in der Zulieferkette</v>
      </c>
    </row>
    <row r="117" spans="2:12" ht="28.5" customHeight="1">
      <c r="C117" s="485" t="s">
        <v>22</v>
      </c>
      <c r="D117" s="453" t="str">
        <f t="shared" si="5"/>
        <v>Umweltauswirkungen in der Zulieferkette</v>
      </c>
      <c r="E117" s="485" t="s">
        <v>1079</v>
      </c>
      <c r="F117" s="454" t="s">
        <v>1080</v>
      </c>
      <c r="G117" s="460" t="s">
        <v>1081</v>
      </c>
      <c r="H117" s="454" t="s">
        <v>1082</v>
      </c>
      <c r="I117" s="454" t="str">
        <f t="shared" si="9"/>
        <v>[fr]Umweltauswirkungen in der Zulieferkette</v>
      </c>
      <c r="J117" s="486" t="s">
        <v>1083</v>
      </c>
      <c r="K117" s="454" t="str">
        <f t="shared" si="10"/>
        <v>[gr]Umweltauswirkungen in der Zulieferkette</v>
      </c>
    </row>
    <row r="118" spans="2:12" ht="41.85" customHeight="1">
      <c r="C118" s="485" t="s">
        <v>23</v>
      </c>
      <c r="D118" s="453" t="str">
        <f t="shared" si="5"/>
        <v>Negativ-Aspekt:Unverhältnismäßig hohe Umweltauswirkungen in der Zulieferkette</v>
      </c>
      <c r="E118" s="485" t="s">
        <v>1084</v>
      </c>
      <c r="F118" s="454" t="s">
        <v>1085</v>
      </c>
      <c r="G118" s="460" t="s">
        <v>1086</v>
      </c>
      <c r="H118" s="454" t="s">
        <v>1087</v>
      </c>
      <c r="I118" s="454" t="str">
        <f t="shared" si="9"/>
        <v>[fr]Negativ-Aspekt:Unverhältnismäßig hohe Umweltauswirkungen in der Zulieferkette</v>
      </c>
      <c r="J118" s="486" t="s">
        <v>1088</v>
      </c>
      <c r="K118" s="454" t="str">
        <f t="shared" si="10"/>
        <v>[gr]Negativ-Aspekt:Unverhältnismäßig hohe Umweltauswirkungen in der Zulieferkette</v>
      </c>
    </row>
    <row r="119" spans="2:12" ht="41.85" customHeight="1">
      <c r="B119" s="451" t="str">
        <f>C119&amp;": "&amp;D119</f>
        <v>A4: Transparenz und Mitentscheidung in der Zulieferkette</v>
      </c>
      <c r="C119" s="481" t="s">
        <v>24</v>
      </c>
      <c r="D119" s="453" t="str">
        <f t="shared" si="5"/>
        <v>Transparenz und Mitentscheidung in der Zulieferkette</v>
      </c>
      <c r="E119" s="482" t="s">
        <v>1089</v>
      </c>
      <c r="F119" s="483" t="s">
        <v>1090</v>
      </c>
      <c r="G119" s="460" t="s">
        <v>1091</v>
      </c>
      <c r="H119" s="454" t="s">
        <v>1092</v>
      </c>
      <c r="I119" s="454" t="str">
        <f t="shared" si="9"/>
        <v>[fr]Transparenz und Mitentscheidung in der Zulieferkette</v>
      </c>
      <c r="J119" s="484" t="s">
        <v>1093</v>
      </c>
      <c r="K119" s="454" t="str">
        <f t="shared" si="10"/>
        <v>[gr]Transparenz und Mitentscheidung in der Zulieferkette</v>
      </c>
    </row>
    <row r="120" spans="2:12" ht="28.5" customHeight="1">
      <c r="C120" s="485" t="s">
        <v>25</v>
      </c>
      <c r="D120" s="453" t="str">
        <f t="shared" si="5"/>
        <v>Transparenz und Mitentscheidungsrechte für Lieferant*innen</v>
      </c>
      <c r="E120" s="485" t="s">
        <v>1094</v>
      </c>
      <c r="F120" s="454" t="s">
        <v>1095</v>
      </c>
      <c r="G120" s="460" t="s">
        <v>1096</v>
      </c>
      <c r="H120" s="454" t="s">
        <v>1097</v>
      </c>
      <c r="I120" s="454" t="str">
        <f t="shared" si="9"/>
        <v>[fr]Transparenz und Mitentscheidungsrechte für Lieferant*innen</v>
      </c>
      <c r="J120" s="487" t="s">
        <v>1098</v>
      </c>
      <c r="K120" s="454" t="str">
        <f t="shared" si="10"/>
        <v>[gr]Transparenz und Mitentscheidungsrechte für Lieferant*innen</v>
      </c>
    </row>
    <row r="121" spans="2:12" ht="38.85" customHeight="1">
      <c r="C121" s="485" t="s">
        <v>26</v>
      </c>
      <c r="D121" s="453" t="str">
        <f t="shared" si="5"/>
        <v>Positive Einflussnahme auf Transparenz und Mitentscheidung in der gesamten Zulieferkette</v>
      </c>
      <c r="E121" s="485" t="s">
        <v>1099</v>
      </c>
      <c r="F121" s="454" t="s">
        <v>1100</v>
      </c>
      <c r="G121" s="460" t="s">
        <v>1101</v>
      </c>
      <c r="H121" s="454" t="s">
        <v>1102</v>
      </c>
      <c r="I121" s="454" t="str">
        <f t="shared" si="9"/>
        <v>[fr]Positive Einflussnahme auf Transparenz und Mitentscheidung in der gesamten Zulieferkette</v>
      </c>
      <c r="J121" s="487" t="s">
        <v>1103</v>
      </c>
      <c r="K121" s="454" t="str">
        <f t="shared" si="10"/>
        <v>[gr]Positive Einflussnahme auf Transparenz und Mitentscheidung in der gesamten Zulieferkette</v>
      </c>
    </row>
    <row r="122" spans="2:12" ht="28.5" customHeight="1">
      <c r="B122" s="476" t="str">
        <f>C122&amp;": "&amp;D122</f>
        <v>B: Eigentümer*innen und Finanzpartner*innen</v>
      </c>
      <c r="C122" s="477" t="s">
        <v>27</v>
      </c>
      <c r="D122" s="453" t="str">
        <f t="shared" si="5"/>
        <v>Eigentümer*innen und Finanzpartner*innen</v>
      </c>
      <c r="E122" s="488" t="s">
        <v>1104</v>
      </c>
      <c r="F122" s="479" t="s">
        <v>1105</v>
      </c>
      <c r="G122" s="460" t="s">
        <v>1106</v>
      </c>
      <c r="H122" s="454" t="s">
        <v>1107</v>
      </c>
      <c r="I122" s="454" t="str">
        <f t="shared" si="9"/>
        <v>[fr]Eigentümer*innen und Finanzpartner*innen</v>
      </c>
      <c r="J122" s="480" t="s">
        <v>1108</v>
      </c>
      <c r="K122" s="454" t="str">
        <f t="shared" si="10"/>
        <v>[gr]Eigentümer*innen und Finanzpartner*innen</v>
      </c>
    </row>
    <row r="123" spans="2:12" ht="28.5" customHeight="1">
      <c r="B123" s="451" t="str">
        <f>C123&amp;": "&amp;D123</f>
        <v>B1: Ethische Haltung im Umgang mit Geldmitteln</v>
      </c>
      <c r="C123" s="481" t="s">
        <v>28</v>
      </c>
      <c r="D123" s="453" t="str">
        <f t="shared" si="5"/>
        <v>Ethische Haltung im Umgang mit Geldmitteln</v>
      </c>
      <c r="E123" s="482" t="s">
        <v>1109</v>
      </c>
      <c r="F123" s="483" t="s">
        <v>1110</v>
      </c>
      <c r="G123" s="460" t="s">
        <v>1111</v>
      </c>
      <c r="H123" s="454" t="s">
        <v>1112</v>
      </c>
      <c r="I123" s="454" t="str">
        <f t="shared" si="9"/>
        <v>[fr]Ethische Haltung im Umgang mit Geldmitteln</v>
      </c>
      <c r="J123" s="489" t="s">
        <v>1113</v>
      </c>
      <c r="K123" s="474"/>
      <c r="L123" s="474"/>
    </row>
    <row r="124" spans="2:12" ht="28.5" customHeight="1">
      <c r="C124" s="490" t="s">
        <v>29</v>
      </c>
      <c r="D124" s="453" t="str">
        <f t="shared" si="5"/>
        <v>Finanzielle Unabhängigkeit durch Eigenfinanzierung</v>
      </c>
      <c r="E124" s="485" t="s">
        <v>1114</v>
      </c>
      <c r="F124" s="454" t="s">
        <v>1115</v>
      </c>
      <c r="G124" s="460" t="s">
        <v>1116</v>
      </c>
      <c r="H124" s="454" t="s">
        <v>1117</v>
      </c>
      <c r="I124" s="454" t="str">
        <f t="shared" si="9"/>
        <v>[fr]Finanzielle Unabhängigkeit durch Eigenfinanzierung</v>
      </c>
      <c r="J124" s="491" t="s">
        <v>1118</v>
      </c>
      <c r="K124" s="474"/>
      <c r="L124" s="474"/>
    </row>
    <row r="125" spans="2:12" ht="28.5" customHeight="1">
      <c r="C125" s="36" t="s">
        <v>30</v>
      </c>
      <c r="D125" s="453" t="str">
        <f t="shared" si="5"/>
        <v>Gemeinwohlorientierte Fremdfinanzierung</v>
      </c>
      <c r="E125" s="492" t="s">
        <v>1119</v>
      </c>
      <c r="F125" s="454" t="s">
        <v>1120</v>
      </c>
      <c r="G125" s="460" t="s">
        <v>1121</v>
      </c>
      <c r="H125" s="454" t="s">
        <v>1122</v>
      </c>
      <c r="I125" s="454" t="str">
        <f t="shared" si="9"/>
        <v>[fr]Gemeinwohlorientierte Fremdfinanzierung</v>
      </c>
      <c r="J125" s="491" t="s">
        <v>1123</v>
      </c>
      <c r="K125" s="474"/>
      <c r="L125" s="474"/>
    </row>
    <row r="126" spans="2:12" ht="28.5" customHeight="1">
      <c r="C126" s="36" t="s">
        <v>31</v>
      </c>
      <c r="D126" s="453" t="str">
        <f t="shared" si="5"/>
        <v>Ethische Haltung externer Finanzpartner*innen</v>
      </c>
      <c r="E126" s="492" t="s">
        <v>1124</v>
      </c>
      <c r="F126" s="454" t="s">
        <v>1125</v>
      </c>
      <c r="G126" s="460" t="s">
        <v>1126</v>
      </c>
      <c r="H126" s="454" t="s">
        <v>1127</v>
      </c>
      <c r="I126" s="454" t="str">
        <f t="shared" si="9"/>
        <v>[fr]Ethische Haltung externer Finanzpartner*innen</v>
      </c>
      <c r="J126" s="491" t="s">
        <v>1128</v>
      </c>
      <c r="K126" s="474"/>
      <c r="L126" s="474"/>
    </row>
    <row r="127" spans="2:12" ht="28.5" customHeight="1">
      <c r="B127" s="451" t="str">
        <f>C127&amp;": "&amp;D127</f>
        <v>B2: Soziale Haltung im Umgang mit Geldmitteln</v>
      </c>
      <c r="C127" s="481" t="s">
        <v>32</v>
      </c>
      <c r="D127" s="453" t="str">
        <f t="shared" si="5"/>
        <v>Soziale Haltung im Umgang mit Geldmitteln</v>
      </c>
      <c r="E127" s="482" t="s">
        <v>1129</v>
      </c>
      <c r="F127" s="483" t="s">
        <v>1130</v>
      </c>
      <c r="G127" s="460" t="s">
        <v>1131</v>
      </c>
      <c r="H127" s="454" t="s">
        <v>1132</v>
      </c>
      <c r="I127" s="454" t="str">
        <f t="shared" si="9"/>
        <v>[fr]Soziale Haltung im Umgang mit Geldmitteln</v>
      </c>
      <c r="J127" s="489" t="s">
        <v>1133</v>
      </c>
      <c r="K127" s="474"/>
      <c r="L127" s="474"/>
    </row>
    <row r="128" spans="2:12" ht="28.5" customHeight="1">
      <c r="C128" s="490" t="s">
        <v>33</v>
      </c>
      <c r="D128" s="453" t="str">
        <f t="shared" si="5"/>
        <v>Solidarische und gemeinwohlorientierte Mittelverwendung</v>
      </c>
      <c r="E128" s="485" t="s">
        <v>1134</v>
      </c>
      <c r="F128" s="454" t="s">
        <v>1135</v>
      </c>
      <c r="G128" s="460" t="s">
        <v>1136</v>
      </c>
      <c r="H128" s="454" t="s">
        <v>1137</v>
      </c>
      <c r="I128" s="454" t="str">
        <f t="shared" si="9"/>
        <v>[fr]Solidarische und gemeinwohlorientierte Mittelverwendung</v>
      </c>
      <c r="J128" s="491" t="s">
        <v>1138</v>
      </c>
      <c r="K128" s="474"/>
      <c r="L128" s="474"/>
    </row>
    <row r="129" spans="2:12" ht="28.5" customHeight="1">
      <c r="C129" s="36" t="s">
        <v>34</v>
      </c>
      <c r="D129" s="453" t="str">
        <f t="shared" si="5"/>
        <v>Negativ-Aspekt: Unfaire Verteilung von Geldmittel</v>
      </c>
      <c r="E129" s="492" t="s">
        <v>1139</v>
      </c>
      <c r="F129" s="454" t="s">
        <v>1140</v>
      </c>
      <c r="G129" s="460" t="s">
        <v>1141</v>
      </c>
      <c r="H129" s="454" t="s">
        <v>1142</v>
      </c>
      <c r="I129" s="454" t="str">
        <f t="shared" si="9"/>
        <v>[fr]Negativ-Aspekt: Unfaire Verteilung von Geldmittel</v>
      </c>
      <c r="J129" s="491" t="s">
        <v>1143</v>
      </c>
      <c r="K129" s="474"/>
      <c r="L129" s="474"/>
    </row>
    <row r="130" spans="2:12" ht="28.5" customHeight="1">
      <c r="B130" s="451" t="str">
        <f>C130&amp;": "&amp;D130</f>
        <v>B3: Sozial-ökologische Investitionen und Mittelverwendung</v>
      </c>
      <c r="C130" s="481" t="s">
        <v>35</v>
      </c>
      <c r="D130" s="453" t="str">
        <f t="shared" si="5"/>
        <v>Sozial-ökologische Investitionen und Mittelverwendung</v>
      </c>
      <c r="E130" s="482" t="s">
        <v>1144</v>
      </c>
      <c r="F130" s="483" t="s">
        <v>1145</v>
      </c>
      <c r="G130" s="460" t="s">
        <v>1146</v>
      </c>
      <c r="H130" s="454" t="s">
        <v>1147</v>
      </c>
      <c r="I130" s="454" t="str">
        <f t="shared" si="9"/>
        <v>[fr]Sozial-ökologische Investitionen und Mittelverwendung</v>
      </c>
      <c r="J130" s="489" t="s">
        <v>1148</v>
      </c>
      <c r="K130" s="474"/>
      <c r="L130" s="474"/>
    </row>
    <row r="131" spans="2:12" ht="15.75" customHeight="1">
      <c r="C131" s="490" t="s">
        <v>36</v>
      </c>
      <c r="D131" s="453" t="str">
        <f t="shared" si="5"/>
        <v>Ökologische Qualität der Investitionen</v>
      </c>
      <c r="E131" s="485" t="s">
        <v>1149</v>
      </c>
      <c r="F131" s="454" t="s">
        <v>1150</v>
      </c>
      <c r="G131" s="460" t="s">
        <v>1151</v>
      </c>
      <c r="H131" s="454" t="s">
        <v>1152</v>
      </c>
      <c r="I131" s="454" t="str">
        <f t="shared" si="9"/>
        <v>[fr]Ökologische Qualität der Investitionen</v>
      </c>
      <c r="J131" s="491" t="s">
        <v>1153</v>
      </c>
      <c r="K131" s="474"/>
      <c r="L131" s="474"/>
    </row>
    <row r="132" spans="2:12" ht="15.75" customHeight="1">
      <c r="C132" s="36" t="s">
        <v>37</v>
      </c>
      <c r="D132" s="453" t="str">
        <f t="shared" si="5"/>
        <v>Gemeinwohlorientierte Veranlagung</v>
      </c>
      <c r="E132" s="492" t="s">
        <v>1154</v>
      </c>
      <c r="F132" s="454" t="s">
        <v>1155</v>
      </c>
      <c r="G132" s="460" t="s">
        <v>1156</v>
      </c>
      <c r="H132" s="454" t="s">
        <v>1157</v>
      </c>
      <c r="I132" s="454" t="str">
        <f t="shared" si="9"/>
        <v>[fr]Gemeinwohlorientierte Veranlagung</v>
      </c>
      <c r="J132" s="491" t="s">
        <v>1158</v>
      </c>
      <c r="K132" s="474"/>
      <c r="L132" s="474"/>
    </row>
    <row r="133" spans="2:12" ht="28.5" customHeight="1">
      <c r="C133" s="36" t="s">
        <v>38</v>
      </c>
      <c r="D133" s="453" t="str">
        <f t="shared" si="5"/>
        <v>Negativ-Aspekt: Abhängigkeit von ökologisch bedenklichen Ressourcen</v>
      </c>
      <c r="E133" s="492" t="s">
        <v>1159</v>
      </c>
      <c r="F133" s="454" t="s">
        <v>1160</v>
      </c>
      <c r="G133" s="460" t="s">
        <v>1161</v>
      </c>
      <c r="H133" s="454" t="s">
        <v>1162</v>
      </c>
      <c r="I133" s="454" t="str">
        <f t="shared" si="9"/>
        <v>[fr]Negativ-Aspekt: Abhängigkeit von ökologisch bedenklichen Ressourcen</v>
      </c>
      <c r="J133" s="491" t="s">
        <v>1163</v>
      </c>
      <c r="K133" s="474"/>
      <c r="L133" s="474"/>
    </row>
    <row r="134" spans="2:12" ht="28.5" customHeight="1">
      <c r="B134" s="451" t="str">
        <f>C134&amp;": "&amp;D134</f>
        <v>B4: Eigentum und Mitentscheidung</v>
      </c>
      <c r="C134" s="481" t="s">
        <v>39</v>
      </c>
      <c r="D134" s="453" t="str">
        <f t="shared" si="5"/>
        <v>Eigentum und Mitentscheidung</v>
      </c>
      <c r="E134" s="482" t="s">
        <v>1164</v>
      </c>
      <c r="F134" s="483" t="s">
        <v>1165</v>
      </c>
      <c r="G134" s="460" t="s">
        <v>1166</v>
      </c>
      <c r="H134" s="454" t="s">
        <v>1167</v>
      </c>
      <c r="I134" s="454" t="str">
        <f t="shared" si="9"/>
        <v>[fr]Eigentum und Mitentscheidung</v>
      </c>
      <c r="J134" s="489" t="s">
        <v>1168</v>
      </c>
      <c r="K134" s="474"/>
      <c r="L134" s="474"/>
    </row>
    <row r="135" spans="2:12" ht="28.5" customHeight="1">
      <c r="C135" s="490" t="s">
        <v>40</v>
      </c>
      <c r="D135" s="453" t="str">
        <f t="shared" si="5"/>
        <v>Gemeinwohlorientierte Eigentumsstruktur</v>
      </c>
      <c r="E135" s="485" t="s">
        <v>1169</v>
      </c>
      <c r="F135" s="454" t="s">
        <v>1170</v>
      </c>
      <c r="G135" s="460" t="s">
        <v>1171</v>
      </c>
      <c r="H135" s="454" t="s">
        <v>1172</v>
      </c>
      <c r="I135" s="454" t="str">
        <f t="shared" si="9"/>
        <v>[fr]Gemeinwohlorientierte Eigentumsstruktur</v>
      </c>
      <c r="J135" s="491" t="s">
        <v>1173</v>
      </c>
      <c r="K135" s="474"/>
      <c r="L135" s="474"/>
    </row>
    <row r="136" spans="2:12" ht="28.5" customHeight="1">
      <c r="C136" s="36" t="s">
        <v>41</v>
      </c>
      <c r="D136" s="453" t="str">
        <f t="shared" si="5"/>
        <v>Negativ-Aspekt: Feindliche Übernahme</v>
      </c>
      <c r="E136" s="492" t="s">
        <v>1174</v>
      </c>
      <c r="F136" s="454" t="s">
        <v>1175</v>
      </c>
      <c r="G136" s="460" t="s">
        <v>1176</v>
      </c>
      <c r="H136" s="454" t="s">
        <v>1177</v>
      </c>
      <c r="I136" s="454" t="str">
        <f t="shared" si="9"/>
        <v>[fr]Negativ-Aspekt: Feindliche Übernahme</v>
      </c>
      <c r="J136" s="491" t="s">
        <v>1178</v>
      </c>
      <c r="K136" s="474"/>
      <c r="L136" s="474"/>
    </row>
    <row r="137" spans="2:12" ht="15.75" customHeight="1">
      <c r="B137" s="476" t="str">
        <f>C137&amp;": "&amp;D137</f>
        <v>C: Mitarbeitende</v>
      </c>
      <c r="C137" s="477" t="s">
        <v>42</v>
      </c>
      <c r="D137" s="453" t="str">
        <f t="shared" si="5"/>
        <v>Mitarbeitende</v>
      </c>
      <c r="E137" s="488" t="s">
        <v>1179</v>
      </c>
      <c r="F137" s="479" t="s">
        <v>1180</v>
      </c>
      <c r="G137" s="460" t="s">
        <v>1181</v>
      </c>
      <c r="H137" s="454" t="s">
        <v>1182</v>
      </c>
      <c r="I137" s="454" t="str">
        <f t="shared" si="9"/>
        <v>[fr]Mitarbeitende</v>
      </c>
      <c r="J137" s="493" t="s">
        <v>1183</v>
      </c>
      <c r="K137" s="454" t="str">
        <f>"[gr]"&amp;E137</f>
        <v>[gr]Mitarbeitende</v>
      </c>
    </row>
    <row r="138" spans="2:12" ht="28.5" customHeight="1">
      <c r="B138" s="451" t="str">
        <f>C138&amp;": "&amp;D138</f>
        <v>C1: Menschenwürde am Arbeitsplatz</v>
      </c>
      <c r="C138" s="481" t="s">
        <v>43</v>
      </c>
      <c r="D138" s="453" t="str">
        <f t="shared" si="5"/>
        <v>Menschenwürde am Arbeitsplatz</v>
      </c>
      <c r="E138" s="482" t="s">
        <v>1184</v>
      </c>
      <c r="F138" s="483" t="s">
        <v>1185</v>
      </c>
      <c r="G138" s="460" t="s">
        <v>1186</v>
      </c>
      <c r="H138" s="454" t="s">
        <v>1187</v>
      </c>
      <c r="I138" s="454" t="str">
        <f t="shared" si="9"/>
        <v>[fr]Menschenwürde am Arbeitsplatz</v>
      </c>
      <c r="J138" s="489" t="s">
        <v>1188</v>
      </c>
      <c r="K138" s="474"/>
      <c r="L138" s="474"/>
    </row>
    <row r="139" spans="2:12" ht="28.5" customHeight="1">
      <c r="C139" s="485" t="s">
        <v>44</v>
      </c>
      <c r="D139" s="453" t="str">
        <f t="shared" si="5"/>
        <v>Mitarbeiterorientierte Unternehmenskultur</v>
      </c>
      <c r="E139" s="485" t="s">
        <v>1189</v>
      </c>
      <c r="F139" s="454" t="s">
        <v>1190</v>
      </c>
      <c r="G139" s="460" t="s">
        <v>1191</v>
      </c>
      <c r="H139" s="454" t="s">
        <v>1192</v>
      </c>
      <c r="I139" s="454" t="str">
        <f t="shared" si="9"/>
        <v>[fr]Mitarbeiterorientierte Unternehmenskultur</v>
      </c>
      <c r="J139" s="491" t="s">
        <v>1193</v>
      </c>
      <c r="K139" s="474"/>
      <c r="L139" s="474"/>
    </row>
    <row r="140" spans="2:12" ht="28.5" customHeight="1">
      <c r="C140" s="492" t="s">
        <v>45</v>
      </c>
      <c r="D140" s="453" t="str">
        <f t="shared" si="5"/>
        <v>Gesundheitsförderung und Arbeitsschutz</v>
      </c>
      <c r="E140" s="492" t="s">
        <v>1194</v>
      </c>
      <c r="F140" s="454" t="s">
        <v>1195</v>
      </c>
      <c r="G140" s="460" t="s">
        <v>1196</v>
      </c>
      <c r="H140" s="454" t="s">
        <v>1197</v>
      </c>
      <c r="I140" s="454" t="str">
        <f t="shared" si="9"/>
        <v>[fr]Gesundheitsförderung und Arbeitsschutz</v>
      </c>
      <c r="J140" s="491" t="s">
        <v>1198</v>
      </c>
      <c r="K140" s="474"/>
      <c r="L140" s="474"/>
    </row>
    <row r="141" spans="2:12" ht="15.75" customHeight="1">
      <c r="C141" s="492" t="s">
        <v>46</v>
      </c>
      <c r="D141" s="453" t="str">
        <f t="shared" si="5"/>
        <v>Diversität und Chancengleichheit</v>
      </c>
      <c r="E141" s="492" t="s">
        <v>1199</v>
      </c>
      <c r="F141" s="454" t="s">
        <v>1200</v>
      </c>
      <c r="G141" s="460" t="s">
        <v>1201</v>
      </c>
      <c r="H141" s="454" t="s">
        <v>1202</v>
      </c>
      <c r="I141" s="454" t="str">
        <f t="shared" si="9"/>
        <v>[fr]Diversität und Chancengleichheit</v>
      </c>
      <c r="J141" s="491" t="s">
        <v>1203</v>
      </c>
      <c r="K141" s="474"/>
      <c r="L141" s="474"/>
    </row>
    <row r="142" spans="2:12" ht="28.5" customHeight="1">
      <c r="C142" s="494" t="s">
        <v>47</v>
      </c>
      <c r="D142" s="453" t="str">
        <f t="shared" si="5"/>
        <v>Negativ-Aspekt: Menschenunwürdige Arbeitsbedingungen</v>
      </c>
      <c r="E142" s="494" t="s">
        <v>1204</v>
      </c>
      <c r="F142" s="454" t="s">
        <v>1205</v>
      </c>
      <c r="G142" s="460" t="s">
        <v>1206</v>
      </c>
      <c r="H142" s="454" t="s">
        <v>1207</v>
      </c>
      <c r="I142" s="454" t="str">
        <f t="shared" si="9"/>
        <v>[fr]Negativ-Aspekt: Menschenunwürdige Arbeitsbedingungen</v>
      </c>
      <c r="J142" s="491" t="s">
        <v>1208</v>
      </c>
      <c r="K142" s="474"/>
      <c r="L142" s="474"/>
    </row>
    <row r="143" spans="2:12" ht="28.5" customHeight="1">
      <c r="B143" s="451" t="str">
        <f>C143&amp;": "&amp;D143</f>
        <v>C2: Ausgestaltung der Arbeitsverträge</v>
      </c>
      <c r="C143" s="481" t="s">
        <v>48</v>
      </c>
      <c r="D143" s="453" t="str">
        <f t="shared" si="5"/>
        <v>Ausgestaltung der Arbeitsverträge</v>
      </c>
      <c r="E143" s="482" t="s">
        <v>1209</v>
      </c>
      <c r="F143" s="483" t="s">
        <v>3135</v>
      </c>
      <c r="G143" s="460" t="s">
        <v>1210</v>
      </c>
      <c r="H143" s="454" t="s">
        <v>1211</v>
      </c>
      <c r="I143" s="454" t="str">
        <f t="shared" si="9"/>
        <v>[fr]Ausgestaltung der Arbeitsverträge</v>
      </c>
      <c r="J143" s="489" t="s">
        <v>1212</v>
      </c>
      <c r="K143" s="474"/>
      <c r="L143" s="474"/>
    </row>
    <row r="144" spans="2:12" ht="15.75" customHeight="1">
      <c r="C144" s="490" t="s">
        <v>49</v>
      </c>
      <c r="D144" s="453" t="str">
        <f t="shared" si="5"/>
        <v>Ausgestaltung des Verdienstes</v>
      </c>
      <c r="E144" s="485" t="s">
        <v>1213</v>
      </c>
      <c r="F144" s="454" t="s">
        <v>1214</v>
      </c>
      <c r="G144" s="460" t="s">
        <v>1215</v>
      </c>
      <c r="H144" s="454" t="s">
        <v>1216</v>
      </c>
      <c r="I144" s="454" t="str">
        <f t="shared" si="9"/>
        <v>[fr]Ausgestaltung des Verdienstes</v>
      </c>
      <c r="J144" s="491" t="s">
        <v>1217</v>
      </c>
      <c r="K144" s="474"/>
      <c r="L144" s="474"/>
    </row>
    <row r="145" spans="2:12" ht="15.75" customHeight="1">
      <c r="C145" s="36" t="s">
        <v>50</v>
      </c>
      <c r="D145" s="453" t="str">
        <f t="shared" si="5"/>
        <v>Ausgestaltung der Arbeitszeit</v>
      </c>
      <c r="E145" s="492" t="s">
        <v>1218</v>
      </c>
      <c r="F145" s="454" t="s">
        <v>1219</v>
      </c>
      <c r="G145" s="460" t="s">
        <v>1220</v>
      </c>
      <c r="H145" s="454" t="s">
        <v>1221</v>
      </c>
      <c r="I145" s="454" t="str">
        <f t="shared" si="9"/>
        <v>[fr]Ausgestaltung der Arbeitszeit</v>
      </c>
      <c r="J145" s="491" t="s">
        <v>1222</v>
      </c>
      <c r="K145" s="474"/>
      <c r="L145" s="474"/>
    </row>
    <row r="146" spans="2:12" ht="28.5" customHeight="1">
      <c r="C146" s="495" t="s">
        <v>51</v>
      </c>
      <c r="D146" s="453" t="str">
        <f t="shared" si="5"/>
        <v>Ausgestaltung des Arbeitsverhältnisses und Work-Life-Balance</v>
      </c>
      <c r="E146" s="494" t="s">
        <v>1223</v>
      </c>
      <c r="F146" s="454" t="s">
        <v>1224</v>
      </c>
      <c r="G146" s="460" t="s">
        <v>1225</v>
      </c>
      <c r="H146" s="454" t="s">
        <v>1226</v>
      </c>
      <c r="I146" s="454" t="str">
        <f t="shared" si="9"/>
        <v>[fr]Ausgestaltung des Arbeitsverhältnisses und Work-Life-Balance</v>
      </c>
      <c r="J146" s="491" t="s">
        <v>1227</v>
      </c>
      <c r="K146" s="474"/>
      <c r="L146" s="474"/>
    </row>
    <row r="147" spans="2:12" ht="28.5" customHeight="1">
      <c r="C147" s="495" t="s">
        <v>52</v>
      </c>
      <c r="D147" s="453" t="str">
        <f t="shared" si="5"/>
        <v>Negativ-Aspekt: Ungerechte Ausgestaltung der Arbeitsverträge</v>
      </c>
      <c r="E147" s="494" t="s">
        <v>1228</v>
      </c>
      <c r="F147" s="454" t="s">
        <v>1229</v>
      </c>
      <c r="G147" s="460" t="s">
        <v>1230</v>
      </c>
      <c r="H147" s="454" t="s">
        <v>1231</v>
      </c>
      <c r="I147" s="454" t="str">
        <f t="shared" si="9"/>
        <v>[fr]Negativ-Aspekt: Ungerechte Ausgestaltung der Arbeitsverträge</v>
      </c>
      <c r="J147" s="491" t="s">
        <v>1232</v>
      </c>
      <c r="K147" s="474"/>
      <c r="L147" s="474"/>
    </row>
    <row r="148" spans="2:12" ht="41.85" customHeight="1">
      <c r="B148" s="451" t="str">
        <f>C148&amp;": "&amp;D148</f>
        <v>C3: Förderung des ökologischen Verhaltens der Mitarbeitenden</v>
      </c>
      <c r="C148" s="481" t="s">
        <v>53</v>
      </c>
      <c r="D148" s="453" t="str">
        <f t="shared" si="5"/>
        <v>Förderung des ökologischen Verhaltens der Mitarbeitenden</v>
      </c>
      <c r="E148" s="482" t="s">
        <v>1233</v>
      </c>
      <c r="F148" s="483" t="s">
        <v>1234</v>
      </c>
      <c r="G148" s="460" t="s">
        <v>1235</v>
      </c>
      <c r="H148" s="454" t="s">
        <v>1236</v>
      </c>
      <c r="I148" s="454" t="str">
        <f t="shared" si="9"/>
        <v>[fr]Förderung des ökologischen Verhaltens der Mitarbeitenden</v>
      </c>
      <c r="J148" s="489" t="s">
        <v>1237</v>
      </c>
      <c r="K148" s="474"/>
      <c r="L148" s="474"/>
    </row>
    <row r="149" spans="2:12" ht="15.75" customHeight="1">
      <c r="C149" s="490" t="s">
        <v>54</v>
      </c>
      <c r="D149" s="453" t="str">
        <f t="shared" si="5"/>
        <v>Ernährung während der Arbeitszeit</v>
      </c>
      <c r="E149" s="485" t="s">
        <v>1238</v>
      </c>
      <c r="F149" s="454" t="s">
        <v>1239</v>
      </c>
      <c r="G149" s="460" t="s">
        <v>1240</v>
      </c>
      <c r="H149" s="454" t="s">
        <v>1241</v>
      </c>
      <c r="I149" s="454" t="str">
        <f t="shared" si="9"/>
        <v>[fr]Ernährung während der Arbeitszeit</v>
      </c>
      <c r="J149" s="491" t="s">
        <v>1242</v>
      </c>
      <c r="K149" s="474"/>
      <c r="L149" s="474"/>
    </row>
    <row r="150" spans="2:12" ht="15.75" customHeight="1">
      <c r="C150" s="36" t="s">
        <v>55</v>
      </c>
      <c r="D150" s="453" t="str">
        <f t="shared" si="5"/>
        <v>Mobilität zum Arbeitsplatz</v>
      </c>
      <c r="E150" s="492" t="s">
        <v>1243</v>
      </c>
      <c r="F150" s="454" t="s">
        <v>1244</v>
      </c>
      <c r="G150" s="460" t="s">
        <v>1245</v>
      </c>
      <c r="H150" s="454" t="s">
        <v>1246</v>
      </c>
      <c r="I150" s="454" t="str">
        <f t="shared" si="9"/>
        <v>[fr]Mobilität zum Arbeitsplatz</v>
      </c>
      <c r="J150" s="491" t="s">
        <v>1247</v>
      </c>
      <c r="K150" s="474"/>
      <c r="L150" s="474"/>
    </row>
    <row r="151" spans="2:12" ht="28.5" customHeight="1">
      <c r="C151" s="495" t="s">
        <v>56</v>
      </c>
      <c r="D151" s="453" t="str">
        <f t="shared" si="5"/>
        <v>Organisationskultur, Sensibilisierung und unternehmensinterne Prozesse</v>
      </c>
      <c r="E151" s="494" t="s">
        <v>1248</v>
      </c>
      <c r="F151" s="454" t="s">
        <v>1249</v>
      </c>
      <c r="G151" s="460" t="s">
        <v>1250</v>
      </c>
      <c r="H151" s="454" t="s">
        <v>1251</v>
      </c>
      <c r="I151" s="454" t="str">
        <f t="shared" si="9"/>
        <v>[fr]Organisationskultur, Sensibilisierung und unternehmensinterne Prozesse</v>
      </c>
      <c r="J151" s="491" t="s">
        <v>1252</v>
      </c>
      <c r="K151" s="474"/>
      <c r="L151" s="474"/>
    </row>
    <row r="152" spans="2:12" ht="41.85" customHeight="1">
      <c r="C152" s="495" t="s">
        <v>57</v>
      </c>
      <c r="D152" s="453" t="str">
        <f t="shared" si="5"/>
        <v>Negativ-Aspekt: Anleitung zur Verschwendung / Duldung unökologischen Verhaltens</v>
      </c>
      <c r="E152" s="494" t="s">
        <v>1253</v>
      </c>
      <c r="F152" s="454" t="s">
        <v>1254</v>
      </c>
      <c r="G152" s="460" t="s">
        <v>1255</v>
      </c>
      <c r="H152" s="454" t="s">
        <v>1256</v>
      </c>
      <c r="I152" s="454" t="str">
        <f t="shared" si="9"/>
        <v>[fr]Negativ-Aspekt: Anleitung zur Verschwendung / Duldung unökologischen Verhaltens</v>
      </c>
      <c r="J152" s="491" t="s">
        <v>1257</v>
      </c>
      <c r="K152" s="474"/>
      <c r="L152" s="474"/>
    </row>
    <row r="153" spans="2:12" ht="41.85" customHeight="1">
      <c r="B153" s="451" t="str">
        <f>C153&amp;": "&amp;D153</f>
        <v>C4: Innerbetriebliche Mitentscheidung und Transparenz</v>
      </c>
      <c r="C153" s="481" t="s">
        <v>58</v>
      </c>
      <c r="D153" s="453" t="str">
        <f t="shared" si="5"/>
        <v>Innerbetriebliche Mitentscheidung und Transparenz</v>
      </c>
      <c r="E153" s="482" t="str">
        <f>"Innerbetriebliche Mitentscheidung und Transparenz"</f>
        <v>Innerbetriebliche Mitentscheidung und Transparenz</v>
      </c>
      <c r="F153" s="483" t="s">
        <v>1258</v>
      </c>
      <c r="G153" s="460" t="s">
        <v>1259</v>
      </c>
      <c r="H153" s="454" t="s">
        <v>1260</v>
      </c>
      <c r="I153" s="454" t="str">
        <f t="shared" si="9"/>
        <v>[fr]Innerbetriebliche Mitentscheidung und Transparenz</v>
      </c>
      <c r="J153" s="489" t="s">
        <v>1261</v>
      </c>
      <c r="K153" s="474"/>
      <c r="L153" s="474"/>
    </row>
    <row r="154" spans="2:12" ht="15.75" customHeight="1">
      <c r="C154" s="490" t="s">
        <v>59</v>
      </c>
      <c r="D154" s="453" t="str">
        <f t="shared" si="5"/>
        <v>Innerbetriebliche Transparenz</v>
      </c>
      <c r="E154" s="485" t="s">
        <v>1262</v>
      </c>
      <c r="F154" s="454" t="s">
        <v>1263</v>
      </c>
      <c r="G154" s="460" t="s">
        <v>1264</v>
      </c>
      <c r="H154" s="454" t="s">
        <v>1265</v>
      </c>
      <c r="I154" s="454" t="str">
        <f t="shared" si="9"/>
        <v>[fr]Innerbetriebliche Transparenz</v>
      </c>
      <c r="J154" s="491" t="s">
        <v>1266</v>
      </c>
      <c r="K154" s="474"/>
      <c r="L154" s="474"/>
    </row>
    <row r="155" spans="2:12" ht="15.75" customHeight="1">
      <c r="C155" s="36" t="s">
        <v>60</v>
      </c>
      <c r="D155" s="453" t="str">
        <f t="shared" si="5"/>
        <v>Legitimierung der Führungskräfte</v>
      </c>
      <c r="E155" s="492" t="s">
        <v>1267</v>
      </c>
      <c r="F155" s="454" t="s">
        <v>1268</v>
      </c>
      <c r="G155" s="460" t="s">
        <v>1269</v>
      </c>
      <c r="H155" s="454" t="s">
        <v>1270</v>
      </c>
      <c r="I155" s="454" t="str">
        <f t="shared" si="9"/>
        <v>[fr]Legitimierung der Führungskräfte</v>
      </c>
      <c r="J155" s="491" t="s">
        <v>1271</v>
      </c>
      <c r="K155" s="474"/>
      <c r="L155" s="474"/>
    </row>
    <row r="156" spans="2:12" ht="28.5" customHeight="1">
      <c r="C156" s="36" t="s">
        <v>61</v>
      </c>
      <c r="D156" s="453" t="str">
        <f t="shared" si="5"/>
        <v>Mitentscheidung der Mitarbeitenden</v>
      </c>
      <c r="E156" s="492" t="s">
        <v>1272</v>
      </c>
      <c r="F156" s="454" t="s">
        <v>1273</v>
      </c>
      <c r="G156" s="460" t="s">
        <v>1274</v>
      </c>
      <c r="H156" s="454" t="s">
        <v>1275</v>
      </c>
      <c r="I156" s="454" t="str">
        <f t="shared" si="9"/>
        <v>[fr]Mitentscheidung der Mitarbeitenden</v>
      </c>
      <c r="J156" s="491" t="s">
        <v>1276</v>
      </c>
      <c r="K156" s="474"/>
      <c r="L156" s="474"/>
    </row>
    <row r="157" spans="2:12" ht="28.5" customHeight="1">
      <c r="C157" s="48" t="s">
        <v>62</v>
      </c>
      <c r="D157" s="453" t="str">
        <f t="shared" si="5"/>
        <v>Negativ-Aspekt C4.4: Verhinderung des Betriebsrates</v>
      </c>
      <c r="E157" s="496" t="s">
        <v>1277</v>
      </c>
      <c r="F157" s="454" t="s">
        <v>1278</v>
      </c>
      <c r="G157" s="460" t="s">
        <v>1279</v>
      </c>
      <c r="H157" s="454" t="s">
        <v>1280</v>
      </c>
      <c r="I157" s="454" t="str">
        <f t="shared" si="9"/>
        <v>[fr]Negativ-Aspekt C4.4: Verhinderung des Betriebsrates</v>
      </c>
      <c r="J157" s="491" t="s">
        <v>1281</v>
      </c>
      <c r="K157" s="474"/>
      <c r="L157" s="474"/>
    </row>
    <row r="158" spans="2:12" ht="15.75" customHeight="1">
      <c r="B158" s="476" t="str">
        <f>C158&amp;": "&amp;D158</f>
        <v>D: Kund*nnen und Mitunternehmen</v>
      </c>
      <c r="C158" s="477" t="s">
        <v>63</v>
      </c>
      <c r="D158" s="453" t="str">
        <f t="shared" si="5"/>
        <v>Kund*nnen und Mitunternehmen</v>
      </c>
      <c r="E158" s="488" t="s">
        <v>1282</v>
      </c>
      <c r="F158" s="479" t="s">
        <v>1283</v>
      </c>
      <c r="G158" s="460" t="s">
        <v>1284</v>
      </c>
      <c r="H158" s="454" t="s">
        <v>1285</v>
      </c>
      <c r="I158" s="454" t="str">
        <f t="shared" si="9"/>
        <v>[fr]Kund*nnen und Mitunternehmen</v>
      </c>
      <c r="J158" s="493" t="s">
        <v>1286</v>
      </c>
      <c r="K158" s="454" t="str">
        <f>"[gr]"&amp;E158</f>
        <v>[gr]Kund*nnen und Mitunternehmen</v>
      </c>
    </row>
    <row r="159" spans="2:12" ht="28.5" customHeight="1">
      <c r="B159" s="451" t="str">
        <f>C159&amp;": "&amp;D159</f>
        <v>D1: Ethische Kund*innenbeziehungen</v>
      </c>
      <c r="C159" s="481" t="s">
        <v>64</v>
      </c>
      <c r="D159" s="453" t="str">
        <f t="shared" si="5"/>
        <v>Ethische Kund*innenbeziehungen</v>
      </c>
      <c r="E159" s="482" t="s">
        <v>1287</v>
      </c>
      <c r="F159" s="483" t="s">
        <v>1288</v>
      </c>
      <c r="G159" s="460" t="s">
        <v>1289</v>
      </c>
      <c r="H159" s="454" t="s">
        <v>1290</v>
      </c>
      <c r="I159" s="454" t="s">
        <v>1291</v>
      </c>
      <c r="J159" s="489" t="s">
        <v>1292</v>
      </c>
      <c r="K159" s="474"/>
      <c r="L159" s="474"/>
    </row>
    <row r="160" spans="2:12" ht="28.5" customHeight="1">
      <c r="C160" s="485" t="s">
        <v>65</v>
      </c>
      <c r="D160" s="453" t="str">
        <f t="shared" si="5"/>
        <v>Menschenwürdige Kommunikation mit Kund*innen</v>
      </c>
      <c r="E160" s="485" t="s">
        <v>1293</v>
      </c>
      <c r="F160" s="454" t="s">
        <v>1294</v>
      </c>
      <c r="G160" s="460" t="s">
        <v>1295</v>
      </c>
      <c r="H160" s="454" t="s">
        <v>1296</v>
      </c>
      <c r="I160" s="454" t="str">
        <f t="shared" ref="I160:I192" si="11">"[fr]"&amp;E160</f>
        <v>[fr]Menschenwürdige Kommunikation mit Kund*innen</v>
      </c>
      <c r="J160" s="491" t="s">
        <v>1297</v>
      </c>
      <c r="K160" s="474"/>
      <c r="L160" s="474"/>
    </row>
    <row r="161" spans="2:12" ht="15.75" customHeight="1">
      <c r="C161" s="36" t="s">
        <v>66</v>
      </c>
      <c r="D161" s="453" t="str">
        <f t="shared" si="5"/>
        <v>Barrierefreiheit</v>
      </c>
      <c r="E161" s="485" t="s">
        <v>1298</v>
      </c>
      <c r="F161" s="454" t="s">
        <v>1299</v>
      </c>
      <c r="G161" s="460" t="s">
        <v>1300</v>
      </c>
      <c r="H161" s="454" t="s">
        <v>1301</v>
      </c>
      <c r="I161" s="454" t="str">
        <f t="shared" si="11"/>
        <v>[fr]Barrierefreiheit</v>
      </c>
      <c r="J161" s="491" t="s">
        <v>1302</v>
      </c>
      <c r="K161" s="474"/>
      <c r="L161" s="474"/>
    </row>
    <row r="162" spans="2:12" ht="28.5" customHeight="1">
      <c r="C162" s="492" t="s">
        <v>67</v>
      </c>
      <c r="D162" s="453" t="str">
        <f t="shared" si="5"/>
        <v>Negativ-Aspekt: Unethische Werbemaßnahmen</v>
      </c>
      <c r="E162" s="485" t="s">
        <v>1303</v>
      </c>
      <c r="F162" s="454" t="s">
        <v>1304</v>
      </c>
      <c r="G162" s="460" t="s">
        <v>1305</v>
      </c>
      <c r="H162" s="454" t="s">
        <v>1306</v>
      </c>
      <c r="I162" s="454" t="str">
        <f t="shared" si="11"/>
        <v>[fr]Negativ-Aspekt: Unethische Werbemaßnahmen</v>
      </c>
      <c r="J162" s="491" t="s">
        <v>1307</v>
      </c>
      <c r="K162" s="474"/>
      <c r="L162" s="474"/>
    </row>
    <row r="163" spans="2:12" ht="28.5" customHeight="1">
      <c r="B163" s="451" t="str">
        <f>C163&amp;": "&amp;D163</f>
        <v>D2: Kooperation und Solidarität mit Mitunternehmen</v>
      </c>
      <c r="C163" s="481" t="s">
        <v>68</v>
      </c>
      <c r="D163" s="453" t="str">
        <f t="shared" si="5"/>
        <v>Kooperation und Solidarität mit Mitunternehmen</v>
      </c>
      <c r="E163" s="482" t="s">
        <v>1308</v>
      </c>
      <c r="F163" s="483" t="s">
        <v>1309</v>
      </c>
      <c r="G163" s="460" t="s">
        <v>1310</v>
      </c>
      <c r="H163" s="454" t="s">
        <v>1311</v>
      </c>
      <c r="I163" s="454" t="str">
        <f t="shared" si="11"/>
        <v>[fr]Kooperation und Solidarität mit Mitunternehmen</v>
      </c>
      <c r="J163" s="489" t="s">
        <v>1312</v>
      </c>
      <c r="K163" s="474"/>
      <c r="L163" s="474"/>
    </row>
    <row r="164" spans="2:12" ht="15.75" customHeight="1">
      <c r="C164" s="485" t="s">
        <v>69</v>
      </c>
      <c r="D164" s="453" t="str">
        <f t="shared" si="5"/>
        <v>Kooperation mit Mitunternehmen</v>
      </c>
      <c r="E164" s="485" t="s">
        <v>1313</v>
      </c>
      <c r="F164" s="454" t="s">
        <v>1314</v>
      </c>
      <c r="G164" s="460" t="s">
        <v>1315</v>
      </c>
      <c r="H164" s="454" t="s">
        <v>1316</v>
      </c>
      <c r="I164" s="454" t="str">
        <f t="shared" si="11"/>
        <v>[fr]Kooperation mit Mitunternehmen</v>
      </c>
      <c r="J164" s="491" t="s">
        <v>1317</v>
      </c>
      <c r="K164" s="474"/>
      <c r="L164" s="474"/>
    </row>
    <row r="165" spans="2:12" ht="15.75" customHeight="1">
      <c r="C165" s="492" t="s">
        <v>70</v>
      </c>
      <c r="D165" s="453" t="str">
        <f t="shared" si="5"/>
        <v>Solidarität mit Mitunternehmen</v>
      </c>
      <c r="E165" s="485" t="s">
        <v>1318</v>
      </c>
      <c r="F165" s="454" t="s">
        <v>1319</v>
      </c>
      <c r="G165" s="460" t="s">
        <v>1320</v>
      </c>
      <c r="H165" s="454" t="s">
        <v>1321</v>
      </c>
      <c r="I165" s="454" t="str">
        <f t="shared" si="11"/>
        <v>[fr]Solidarität mit Mitunternehmen</v>
      </c>
      <c r="J165" s="491" t="s">
        <v>1322</v>
      </c>
      <c r="K165" s="474"/>
      <c r="L165" s="474"/>
    </row>
    <row r="166" spans="2:12" ht="28.5" customHeight="1">
      <c r="C166" s="494" t="s">
        <v>71</v>
      </c>
      <c r="D166" s="453" t="str">
        <f t="shared" si="5"/>
        <v>Negativ-Aspekt D2.3: Missbrauch der Marktmacht gegenüber Mitunternehmen</v>
      </c>
      <c r="E166" s="497" t="s">
        <v>1323</v>
      </c>
      <c r="F166" s="454" t="s">
        <v>1324</v>
      </c>
      <c r="G166" s="460" t="s">
        <v>1325</v>
      </c>
      <c r="H166" s="454" t="s">
        <v>1326</v>
      </c>
      <c r="I166" s="454" t="str">
        <f t="shared" si="11"/>
        <v>[fr]Negativ-Aspekt D2.3: Missbrauch der Marktmacht gegenüber Mitunternehmen</v>
      </c>
      <c r="J166" s="491" t="s">
        <v>1327</v>
      </c>
      <c r="K166" s="474"/>
      <c r="L166" s="474"/>
    </row>
    <row r="167" spans="2:12" ht="41.85" customHeight="1">
      <c r="B167" s="451" t="str">
        <f>C167&amp;": "&amp;D167</f>
        <v>D3: Ökologische Auswirkung durch Nutzung und Entsorgung von Produkten und Dienstleistungen</v>
      </c>
      <c r="C167" s="481" t="s">
        <v>72</v>
      </c>
      <c r="D167" s="453" t="str">
        <f t="shared" si="5"/>
        <v>Ökologische Auswirkung durch Nutzung und Entsorgung von Produkten und Dienstleistungen</v>
      </c>
      <c r="E167" s="482" t="s">
        <v>1328</v>
      </c>
      <c r="F167" s="483" t="s">
        <v>1329</v>
      </c>
      <c r="G167" s="460" t="s">
        <v>1330</v>
      </c>
      <c r="H167" s="454" t="s">
        <v>1331</v>
      </c>
      <c r="I167" s="454" t="str">
        <f t="shared" si="11"/>
        <v>[fr]Ökologische Auswirkung durch Nutzung und Entsorgung von Produkten und Dienstleistungen</v>
      </c>
      <c r="J167" s="489" t="s">
        <v>1332</v>
      </c>
      <c r="K167" s="474"/>
      <c r="L167" s="474"/>
    </row>
    <row r="168" spans="2:12" ht="41.85" customHeight="1">
      <c r="C168" s="485" t="s">
        <v>73</v>
      </c>
      <c r="D168" s="453" t="str">
        <f t="shared" si="5"/>
        <v>Ökologisches Kosten-Nutzen-Verhältnis von Produkten und Dienstleistungen (Effizienz und Konsistenz)</v>
      </c>
      <c r="E168" s="485" t="s">
        <v>1333</v>
      </c>
      <c r="F168" s="454" t="s">
        <v>1334</v>
      </c>
      <c r="G168" s="460" t="s">
        <v>1335</v>
      </c>
      <c r="H168" s="454" t="s">
        <v>1336</v>
      </c>
      <c r="I168" s="454" t="str">
        <f t="shared" si="11"/>
        <v>[fr]Ökologisches Kosten-Nutzen-Verhältnis von Produkten und Dienstleistungen (Effizienz und Konsistenz)</v>
      </c>
      <c r="J168" s="491" t="s">
        <v>1337</v>
      </c>
      <c r="K168" s="474"/>
      <c r="L168" s="474"/>
    </row>
    <row r="169" spans="2:12" ht="28.5" customHeight="1">
      <c r="C169" s="492" t="s">
        <v>74</v>
      </c>
      <c r="D169" s="453" t="str">
        <f t="shared" si="5"/>
        <v>Maßvolle Nutzung von Produkten und Dienstleistungen (Suffizienz)</v>
      </c>
      <c r="E169" s="485" t="s">
        <v>1338</v>
      </c>
      <c r="F169" s="454" t="s">
        <v>1339</v>
      </c>
      <c r="G169" s="460" t="s">
        <v>1340</v>
      </c>
      <c r="H169" s="454" t="s">
        <v>1341</v>
      </c>
      <c r="I169" s="454" t="str">
        <f t="shared" si="11"/>
        <v>[fr]Maßvolle Nutzung von Produkten und Dienstleistungen (Suffizienz)</v>
      </c>
      <c r="J169" s="491" t="s">
        <v>1342</v>
      </c>
      <c r="K169" s="474"/>
      <c r="L169" s="474"/>
    </row>
    <row r="170" spans="2:12" ht="38.85" customHeight="1">
      <c r="C170" s="494" t="s">
        <v>75</v>
      </c>
      <c r="D170" s="453" t="str">
        <f t="shared" si="5"/>
        <v>Negativ-Aspekt: Bewusste Inkaufnahme unverhältnismäßiger, ökologischer Auswirkungen</v>
      </c>
      <c r="E170" s="497" t="s">
        <v>1343</v>
      </c>
      <c r="F170" s="454" t="s">
        <v>1344</v>
      </c>
      <c r="G170" s="460" t="s">
        <v>1345</v>
      </c>
      <c r="H170" s="454" t="s">
        <v>1346</v>
      </c>
      <c r="I170" s="454" t="str">
        <f t="shared" si="11"/>
        <v>[fr]Negativ-Aspekt: Bewusste Inkaufnahme unverhältnismäßiger, ökologischer Auswirkungen</v>
      </c>
      <c r="J170" s="491" t="s">
        <v>1347</v>
      </c>
      <c r="K170" s="474"/>
      <c r="L170" s="474"/>
    </row>
    <row r="171" spans="2:12" ht="28.5" customHeight="1">
      <c r="B171" s="451" t="str">
        <f>C171&amp;": "&amp;D171</f>
        <v>D4: Kund*innen-Mitwirkung und Produkttransparenz</v>
      </c>
      <c r="C171" s="481" t="s">
        <v>76</v>
      </c>
      <c r="D171" s="453" t="str">
        <f t="shared" si="5"/>
        <v>Kund*innen-Mitwirkung und Produkttransparenz</v>
      </c>
      <c r="E171" s="482" t="s">
        <v>1348</v>
      </c>
      <c r="F171" s="483" t="s">
        <v>1349</v>
      </c>
      <c r="G171" s="460" t="s">
        <v>1350</v>
      </c>
      <c r="H171" s="454" t="s">
        <v>1351</v>
      </c>
      <c r="I171" s="454" t="str">
        <f t="shared" si="11"/>
        <v>[fr]Kund*innen-Mitwirkung und Produkttransparenz</v>
      </c>
      <c r="J171" s="489" t="s">
        <v>1352</v>
      </c>
      <c r="K171" s="474"/>
      <c r="L171" s="474"/>
    </row>
    <row r="172" spans="2:12" ht="28.5" customHeight="1">
      <c r="C172" s="485" t="s">
        <v>77</v>
      </c>
      <c r="D172" s="453" t="str">
        <f t="shared" si="5"/>
        <v>Kund*innen-Mitwirkung, gemeinsame Produktentwicklung und Marktforschung</v>
      </c>
      <c r="E172" s="485" t="s">
        <v>1353</v>
      </c>
      <c r="F172" s="454" t="s">
        <v>1354</v>
      </c>
      <c r="G172" s="460" t="s">
        <v>1355</v>
      </c>
      <c r="H172" s="454" t="s">
        <v>1356</v>
      </c>
      <c r="I172" s="454" t="str">
        <f t="shared" si="11"/>
        <v>[fr]Kund*innen-Mitwirkung, gemeinsame Produktentwicklung und Marktforschung</v>
      </c>
      <c r="J172" s="491" t="s">
        <v>1357</v>
      </c>
      <c r="K172" s="474"/>
      <c r="L172" s="474"/>
    </row>
    <row r="173" spans="2:12" ht="15.75" customHeight="1">
      <c r="C173" s="494" t="s">
        <v>78</v>
      </c>
      <c r="D173" s="453" t="str">
        <f t="shared" si="5"/>
        <v>Produkttransparenz</v>
      </c>
      <c r="E173" s="497" t="s">
        <v>1358</v>
      </c>
      <c r="F173" s="454" t="s">
        <v>1359</v>
      </c>
      <c r="G173" s="460" t="s">
        <v>1360</v>
      </c>
      <c r="H173" s="454" t="s">
        <v>1361</v>
      </c>
      <c r="I173" s="454" t="str">
        <f t="shared" si="11"/>
        <v>[fr]Produkttransparenz</v>
      </c>
      <c r="J173" s="491" t="s">
        <v>1362</v>
      </c>
      <c r="K173" s="474"/>
      <c r="L173" s="474"/>
    </row>
    <row r="174" spans="2:12" ht="28.5" customHeight="1">
      <c r="C174" s="494" t="s">
        <v>78</v>
      </c>
      <c r="D174" s="453" t="str">
        <f t="shared" si="5"/>
        <v>Negativ-Aspekt: Kein Ausweis von Gefahrenstoffen</v>
      </c>
      <c r="E174" s="494" t="s">
        <v>1363</v>
      </c>
      <c r="F174" s="454" t="s">
        <v>1364</v>
      </c>
      <c r="G174" s="460" t="s">
        <v>1365</v>
      </c>
      <c r="H174" s="454" t="s">
        <v>1366</v>
      </c>
      <c r="I174" s="454" t="str">
        <f t="shared" si="11"/>
        <v>[fr]Negativ-Aspekt: Kein Ausweis von Gefahrenstoffen</v>
      </c>
      <c r="J174" s="491" t="s">
        <v>1367</v>
      </c>
      <c r="K174" s="474"/>
      <c r="L174" s="474"/>
    </row>
    <row r="175" spans="2:12" ht="15.75" customHeight="1">
      <c r="B175" s="476" t="str">
        <f>C175&amp;": "&amp;D175</f>
        <v>E: Gesellschaftliches Umfeld</v>
      </c>
      <c r="C175" s="477" t="s">
        <v>79</v>
      </c>
      <c r="D175" s="453" t="str">
        <f t="shared" si="5"/>
        <v>Gesellschaftliches Umfeld</v>
      </c>
      <c r="E175" s="488" t="s">
        <v>1368</v>
      </c>
      <c r="F175" s="479" t="s">
        <v>1369</v>
      </c>
      <c r="G175" s="460" t="s">
        <v>1370</v>
      </c>
      <c r="H175" s="454" t="s">
        <v>1371</v>
      </c>
      <c r="I175" s="454" t="str">
        <f t="shared" si="11"/>
        <v>[fr]Gesellschaftliches Umfeld</v>
      </c>
      <c r="J175" s="493" t="s">
        <v>1372</v>
      </c>
      <c r="K175" s="454" t="str">
        <f>"[gr]"&amp;E175</f>
        <v>[gr]Gesellschaftliches Umfeld</v>
      </c>
    </row>
    <row r="176" spans="2:12" ht="28.5" customHeight="1">
      <c r="B176" s="451" t="str">
        <f>C176&amp;": "&amp;D176</f>
        <v>E1: Sinn und gesellschaftliche Wirkung der Produkte und Dienstleistungen</v>
      </c>
      <c r="C176" s="481" t="s">
        <v>80</v>
      </c>
      <c r="D176" s="453" t="str">
        <f t="shared" si="5"/>
        <v>Sinn und gesellschaftliche Wirkung der Produkte und Dienstleistungen</v>
      </c>
      <c r="E176" s="482" t="s">
        <v>1373</v>
      </c>
      <c r="F176" s="483" t="s">
        <v>1374</v>
      </c>
      <c r="G176" s="460" t="s">
        <v>1375</v>
      </c>
      <c r="H176" s="454" t="s">
        <v>1376</v>
      </c>
      <c r="I176" s="454" t="str">
        <f t="shared" si="11"/>
        <v>[fr]Sinn und gesellschaftliche Wirkung der Produkte und Dienstleistungen</v>
      </c>
      <c r="J176" s="489" t="s">
        <v>1377</v>
      </c>
      <c r="K176" s="498"/>
    </row>
    <row r="177" spans="2:11" ht="28.5" customHeight="1">
      <c r="C177" s="485" t="s">
        <v>81</v>
      </c>
      <c r="D177" s="453" t="str">
        <f t="shared" si="5"/>
        <v>Produkte und Dienstleistungen decken den Grundbedarf und dienen dem guten Leben</v>
      </c>
      <c r="E177" s="485" t="s">
        <v>1378</v>
      </c>
      <c r="F177" s="454" t="s">
        <v>1379</v>
      </c>
      <c r="G177" s="460" t="s">
        <v>1380</v>
      </c>
      <c r="H177" s="454" t="s">
        <v>1381</v>
      </c>
      <c r="I177" s="454" t="str">
        <f t="shared" si="11"/>
        <v>[fr]Produkte und Dienstleistungen decken den Grundbedarf und dienen dem guten Leben</v>
      </c>
      <c r="J177" s="491" t="s">
        <v>1382</v>
      </c>
      <c r="K177" s="474"/>
    </row>
    <row r="178" spans="2:11" ht="28.5" customHeight="1">
      <c r="C178" s="494" t="s">
        <v>82</v>
      </c>
      <c r="D178" s="453" t="str">
        <f t="shared" si="5"/>
        <v>Gesellschaftliche Wirkung der Produkte und Dienstleistungen</v>
      </c>
      <c r="E178" s="494" t="s">
        <v>1383</v>
      </c>
      <c r="F178" s="454" t="s">
        <v>1384</v>
      </c>
      <c r="G178" s="460" t="s">
        <v>1385</v>
      </c>
      <c r="H178" s="454" t="s">
        <v>1386</v>
      </c>
      <c r="I178" s="454" t="str">
        <f t="shared" si="11"/>
        <v>[fr]Gesellschaftliche Wirkung der Produkte und Dienstleistungen</v>
      </c>
      <c r="J178" s="491" t="s">
        <v>1387</v>
      </c>
      <c r="K178" s="474"/>
    </row>
    <row r="179" spans="2:11" ht="28.5" customHeight="1">
      <c r="C179" s="494" t="s">
        <v>83</v>
      </c>
      <c r="D179" s="453" t="str">
        <f t="shared" si="5"/>
        <v>Negativ-Aspekt: Menschenunwürdige Produkte und Dienstleistungen</v>
      </c>
      <c r="E179" s="494" t="s">
        <v>1388</v>
      </c>
      <c r="F179" s="454" t="s">
        <v>1389</v>
      </c>
      <c r="G179" s="460" t="s">
        <v>1390</v>
      </c>
      <c r="H179" s="454" t="s">
        <v>1391</v>
      </c>
      <c r="I179" s="454" t="str">
        <f t="shared" si="11"/>
        <v>[fr]Negativ-Aspekt: Menschenunwürdige Produkte und Dienstleistungen</v>
      </c>
      <c r="J179" s="499" t="s">
        <v>1392</v>
      </c>
      <c r="K179" s="474"/>
    </row>
    <row r="180" spans="2:11" ht="28.5" customHeight="1">
      <c r="B180" s="451" t="str">
        <f>C180&amp;": "&amp;D180</f>
        <v>E2: Beitrag zum Gemeinwesen</v>
      </c>
      <c r="C180" s="481" t="s">
        <v>84</v>
      </c>
      <c r="D180" s="453" t="str">
        <f t="shared" si="5"/>
        <v>Beitrag zum Gemeinwesen</v>
      </c>
      <c r="E180" s="482" t="s">
        <v>1393</v>
      </c>
      <c r="F180" s="483" t="s">
        <v>1394</v>
      </c>
      <c r="G180" s="460" t="s">
        <v>1395</v>
      </c>
      <c r="H180" s="454" t="s">
        <v>1396</v>
      </c>
      <c r="I180" s="454" t="str">
        <f t="shared" si="11"/>
        <v>[fr]Beitrag zum Gemeinwesen</v>
      </c>
      <c r="J180" s="489" t="s">
        <v>1397</v>
      </c>
      <c r="K180" s="474"/>
    </row>
    <row r="181" spans="2:11" ht="15.75" customHeight="1">
      <c r="C181" s="490" t="s">
        <v>85</v>
      </c>
      <c r="D181" s="453" t="str">
        <f t="shared" si="5"/>
        <v>Steuern und Sozialabgaben</v>
      </c>
      <c r="E181" s="485" t="s">
        <v>1398</v>
      </c>
      <c r="F181" s="454" t="s">
        <v>1399</v>
      </c>
      <c r="G181" s="460" t="s">
        <v>1400</v>
      </c>
      <c r="H181" s="454" t="s">
        <v>1401</v>
      </c>
      <c r="I181" s="454" t="str">
        <f t="shared" si="11"/>
        <v>[fr]Steuern und Sozialabgaben</v>
      </c>
      <c r="J181" s="491" t="s">
        <v>1402</v>
      </c>
      <c r="K181" s="474"/>
    </row>
    <row r="182" spans="2:11" ht="28.5" customHeight="1">
      <c r="C182" s="36" t="s">
        <v>86</v>
      </c>
      <c r="D182" s="453" t="str">
        <f t="shared" si="5"/>
        <v>Freiwillige Beiträge zur Stärkung des Gemeinwesens</v>
      </c>
      <c r="E182" s="492" t="s">
        <v>1403</v>
      </c>
      <c r="F182" s="454" t="s">
        <v>1404</v>
      </c>
      <c r="G182" s="460" t="s">
        <v>1405</v>
      </c>
      <c r="H182" s="454" t="s">
        <v>1406</v>
      </c>
      <c r="I182" s="454" t="str">
        <f t="shared" si="11"/>
        <v>[fr]Freiwillige Beiträge zur Stärkung des Gemeinwesens</v>
      </c>
      <c r="J182" s="491" t="s">
        <v>1407</v>
      </c>
      <c r="K182" s="474"/>
    </row>
    <row r="183" spans="2:11" ht="15.75" customHeight="1">
      <c r="C183" s="495" t="s">
        <v>87</v>
      </c>
      <c r="D183" s="500" t="str">
        <f t="shared" si="5"/>
        <v>Negativ-Aspekt: Illegitime Steuervermeidung</v>
      </c>
      <c r="E183" s="494" t="s">
        <v>1408</v>
      </c>
      <c r="F183" s="454" t="s">
        <v>1409</v>
      </c>
      <c r="G183" s="460" t="s">
        <v>1410</v>
      </c>
      <c r="H183" s="454" t="s">
        <v>1411</v>
      </c>
      <c r="I183" s="454" t="str">
        <f t="shared" si="11"/>
        <v>[fr]Negativ-Aspekt: Illegitime Steuervermeidung</v>
      </c>
      <c r="J183" s="491" t="s">
        <v>1412</v>
      </c>
      <c r="K183" s="474"/>
    </row>
    <row r="184" spans="2:11" ht="28.5" customHeight="1">
      <c r="C184" s="495" t="s">
        <v>88</v>
      </c>
      <c r="D184" s="453" t="str">
        <f t="shared" si="5"/>
        <v>Negativ-Aspekt: Mangelnde Korruptionsprävention</v>
      </c>
      <c r="E184" s="494" t="s">
        <v>1413</v>
      </c>
      <c r="F184" s="454" t="s">
        <v>1414</v>
      </c>
      <c r="G184" s="460" t="s">
        <v>1415</v>
      </c>
      <c r="H184" s="454" t="s">
        <v>1416</v>
      </c>
      <c r="I184" s="454" t="str">
        <f t="shared" si="11"/>
        <v>[fr]Negativ-Aspekt: Mangelnde Korruptionsprävention</v>
      </c>
      <c r="J184" s="491" t="s">
        <v>1417</v>
      </c>
      <c r="K184" s="474"/>
    </row>
    <row r="185" spans="2:11" ht="28.5" customHeight="1">
      <c r="B185" s="451" t="str">
        <f>C185&amp;": "&amp;D185</f>
        <v>E3: Reduktion ökologischer Auswirkungen</v>
      </c>
      <c r="C185" s="481" t="s">
        <v>89</v>
      </c>
      <c r="D185" s="453" t="str">
        <f t="shared" si="5"/>
        <v>Reduktion ökologischer Auswirkungen</v>
      </c>
      <c r="E185" s="482" t="s">
        <v>1418</v>
      </c>
      <c r="F185" s="483" t="s">
        <v>1419</v>
      </c>
      <c r="G185" s="460" t="s">
        <v>1420</v>
      </c>
      <c r="H185" s="454" t="s">
        <v>1421</v>
      </c>
      <c r="I185" s="454" t="str">
        <f t="shared" si="11"/>
        <v>[fr]Reduktion ökologischer Auswirkungen</v>
      </c>
      <c r="J185" s="489" t="s">
        <v>1422</v>
      </c>
      <c r="K185" s="474"/>
    </row>
    <row r="186" spans="2:11" ht="28.5" customHeight="1">
      <c r="C186" s="490" t="s">
        <v>90</v>
      </c>
      <c r="D186" s="453" t="str">
        <f t="shared" si="5"/>
        <v>Absolute Auswirkungen / Management &amp; Strategie</v>
      </c>
      <c r="E186" s="485" t="s">
        <v>1423</v>
      </c>
      <c r="F186" s="454" t="s">
        <v>1424</v>
      </c>
      <c r="G186" s="460" t="s">
        <v>1425</v>
      </c>
      <c r="H186" s="454" t="s">
        <v>1426</v>
      </c>
      <c r="I186" s="454" t="str">
        <f t="shared" si="11"/>
        <v>[fr]Absolute Auswirkungen / Management &amp; Strategie</v>
      </c>
      <c r="J186" s="491" t="s">
        <v>1427</v>
      </c>
      <c r="K186" s="474"/>
    </row>
    <row r="187" spans="2:11" ht="15.75" customHeight="1">
      <c r="C187" s="36" t="s">
        <v>91</v>
      </c>
      <c r="D187" s="500" t="str">
        <f t="shared" si="5"/>
        <v>Relative Auswirkungen</v>
      </c>
      <c r="E187" s="492" t="s">
        <v>1428</v>
      </c>
      <c r="F187" s="454" t="s">
        <v>1429</v>
      </c>
      <c r="G187" s="460" t="s">
        <v>1430</v>
      </c>
      <c r="H187" s="454" t="s">
        <v>1431</v>
      </c>
      <c r="I187" s="454" t="str">
        <f t="shared" si="11"/>
        <v>[fr]Relative Auswirkungen</v>
      </c>
      <c r="J187" s="491" t="s">
        <v>1432</v>
      </c>
      <c r="K187" s="474"/>
    </row>
    <row r="188" spans="2:11" ht="41.85" customHeight="1">
      <c r="C188" s="495" t="s">
        <v>92</v>
      </c>
      <c r="D188" s="453" t="str">
        <f t="shared" si="5"/>
        <v>Negativ-Aspekt: Verstöße gegen Umweltauflagen sowie unangemessene Umweltbelastungen</v>
      </c>
      <c r="E188" s="494" t="s">
        <v>1433</v>
      </c>
      <c r="F188" s="454" t="s">
        <v>1434</v>
      </c>
      <c r="G188" s="460" t="s">
        <v>1435</v>
      </c>
      <c r="H188" s="454" t="s">
        <v>1436</v>
      </c>
      <c r="I188" s="454" t="str">
        <f t="shared" si="11"/>
        <v>[fr]Negativ-Aspekt: Verstöße gegen Umweltauflagen sowie unangemessene Umweltbelastungen</v>
      </c>
      <c r="J188" s="491" t="s">
        <v>1437</v>
      </c>
      <c r="K188" s="474"/>
    </row>
    <row r="189" spans="2:11" ht="28.5" customHeight="1">
      <c r="B189" s="451" t="str">
        <f>C189&amp;": "&amp;D189</f>
        <v>E4: Transparenz und gesellschaftliche Mitentscheidung</v>
      </c>
      <c r="C189" s="481" t="s">
        <v>93</v>
      </c>
      <c r="D189" s="453" t="str">
        <f t="shared" si="5"/>
        <v>Transparenz und gesellschaftliche Mitentscheidung</v>
      </c>
      <c r="E189" s="482" t="s">
        <v>1438</v>
      </c>
      <c r="F189" s="483" t="s">
        <v>1439</v>
      </c>
      <c r="G189" s="460" t="s">
        <v>1440</v>
      </c>
      <c r="H189" s="454" t="s">
        <v>1441</v>
      </c>
      <c r="I189" s="454" t="str">
        <f t="shared" si="11"/>
        <v>[fr]Transparenz und gesellschaftliche Mitentscheidung</v>
      </c>
      <c r="J189" s="489" t="s">
        <v>1442</v>
      </c>
      <c r="K189" s="474"/>
    </row>
    <row r="190" spans="2:11" ht="15.75" customHeight="1">
      <c r="C190" s="490" t="s">
        <v>94</v>
      </c>
      <c r="D190" s="453" t="str">
        <f t="shared" si="5"/>
        <v>Transparenz</v>
      </c>
      <c r="E190" s="485" t="s">
        <v>1443</v>
      </c>
      <c r="F190" s="454" t="s">
        <v>1444</v>
      </c>
      <c r="G190" s="460" t="s">
        <v>1445</v>
      </c>
      <c r="H190" s="454" t="s">
        <v>1446</v>
      </c>
      <c r="I190" s="454" t="str">
        <f t="shared" si="11"/>
        <v>[fr]Transparenz</v>
      </c>
      <c r="J190" s="491" t="s">
        <v>1447</v>
      </c>
      <c r="K190" s="474"/>
    </row>
    <row r="191" spans="2:11" ht="28.5" customHeight="1">
      <c r="C191" s="490" t="s">
        <v>95</v>
      </c>
      <c r="D191" s="500" t="str">
        <f t="shared" si="5"/>
        <v>Gesellschaftliche Mitbestimmung</v>
      </c>
      <c r="E191" s="485" t="s">
        <v>1448</v>
      </c>
      <c r="F191" s="454" t="s">
        <v>1449</v>
      </c>
      <c r="G191" s="460" t="s">
        <v>1450</v>
      </c>
      <c r="H191" s="454" t="s">
        <v>1451</v>
      </c>
      <c r="I191" s="454" t="str">
        <f t="shared" si="11"/>
        <v>[fr]Gesellschaftliche Mitbestimmung</v>
      </c>
      <c r="J191" s="491" t="s">
        <v>1452</v>
      </c>
      <c r="K191" s="474"/>
    </row>
    <row r="192" spans="2:11" ht="28.5" customHeight="1">
      <c r="C192" s="490" t="s">
        <v>96</v>
      </c>
      <c r="D192" s="453" t="str">
        <f t="shared" si="5"/>
        <v>Negativ-Aspekt: Förderung von Intransparenz und bewusste Fehlinformation</v>
      </c>
      <c r="E192" s="485" t="s">
        <v>1453</v>
      </c>
      <c r="F192" s="454" t="s">
        <v>1454</v>
      </c>
      <c r="G192" s="460" t="s">
        <v>1455</v>
      </c>
      <c r="H192" s="454" t="s">
        <v>1456</v>
      </c>
      <c r="I192" s="454" t="str">
        <f t="shared" si="11"/>
        <v>[fr]Negativ-Aspekt: Förderung von Intransparenz und bewusste Fehlinformation</v>
      </c>
      <c r="J192" s="491" t="s">
        <v>1457</v>
      </c>
      <c r="K192" s="474"/>
    </row>
    <row r="193" spans="4:11" ht="15.75" customHeight="1">
      <c r="D193" s="453">
        <f t="shared" si="5"/>
        <v>0</v>
      </c>
      <c r="E193" s="454"/>
      <c r="G193" s="460"/>
      <c r="H193" s="454"/>
      <c r="I193" s="454"/>
      <c r="J193" s="454"/>
      <c r="K193" s="454"/>
    </row>
    <row r="194" spans="4:11" ht="15.75" customHeight="1">
      <c r="D194" s="453" t="str">
        <f t="shared" si="5"/>
        <v>Fakten zum Unternehmen</v>
      </c>
      <c r="E194" s="454" t="s">
        <v>1458</v>
      </c>
      <c r="F194" s="454" t="s">
        <v>1459</v>
      </c>
      <c r="G194" s="460" t="s">
        <v>1460</v>
      </c>
      <c r="H194" s="454" t="s">
        <v>1461</v>
      </c>
      <c r="I194" s="454" t="str">
        <f>"[fr]"&amp;E194</f>
        <v>[fr]Fakten zum Unternehmen</v>
      </c>
      <c r="J194" s="454" t="str">
        <f>"[pt]"&amp;E194</f>
        <v>[pt]Fakten zum Unternehmen</v>
      </c>
      <c r="K194" s="454" t="str">
        <f>"[gr]"&amp;E194</f>
        <v>[gr]Fakten zum Unternehmen</v>
      </c>
    </row>
    <row r="195" spans="4:11" ht="121.5" customHeight="1">
      <c r="D195" s="453" t="str">
        <f t="shared" si="5"/>
        <v xml:space="preserve">Bitte füllen Sie die farblich markierten Felder mit Daten für den Bilanzierungszeitraum, meist das Geschäftsjahr, aus. Falls der Bilanzierungszeitraum länger als 1 Jahr ist können Sie auch ein Geschäftsjahr aus dem Bilanzierungszeitraum auswählen. Sollten dennoch keine konkreten Daten vorliegen bitte um grobe Schätzungen, da die Berechnung sonst fehlerhaft ist. </v>
      </c>
      <c r="E195" s="459" t="s">
        <v>1462</v>
      </c>
      <c r="F195" s="454" t="s">
        <v>1463</v>
      </c>
      <c r="G195" s="460" t="s">
        <v>1464</v>
      </c>
      <c r="H195" s="454" t="s">
        <v>1465</v>
      </c>
      <c r="I195" s="454" t="str">
        <f>"[fr]"&amp;E195</f>
        <v xml:space="preserve">[fr]Bitte füllen Sie die farblich markierten Felder mit Daten für den Bilanzierungszeitraum, meist das Geschäftsjahr, aus. Falls der Bilanzierungszeitraum länger als 1 Jahr ist können Sie auch ein Geschäftsjahr aus dem Bilanzierungszeitraum auswählen. Sollten dennoch keine konkreten Daten vorliegen bitte um grobe Schätzungen, da die Berechnung sonst fehlerhaft ist. </v>
      </c>
      <c r="J195" s="454" t="str">
        <f>"[pt]"&amp;E195</f>
        <v xml:space="preserve">[pt]Bitte füllen Sie die farblich markierten Felder mit Daten für den Bilanzierungszeitraum, meist das Geschäftsjahr, aus. Falls der Bilanzierungszeitraum länger als 1 Jahr ist können Sie auch ein Geschäftsjahr aus dem Bilanzierungszeitraum auswählen. Sollten dennoch keine konkreten Daten vorliegen bitte um grobe Schätzungen, da die Berechnung sonst fehlerhaft ist. </v>
      </c>
      <c r="K195" s="454" t="str">
        <f>"[gr]"&amp;E195</f>
        <v xml:space="preserve">[gr]Bitte füllen Sie die farblich markierten Felder mit Daten für den Bilanzierungszeitraum, meist das Geschäftsjahr, aus. Falls der Bilanzierungszeitraum länger als 1 Jahr ist können Sie auch ein Geschäftsjahr aus dem Bilanzierungszeitraum auswählen. Sollten dennoch keine konkreten Daten vorliegen bitte um grobe Schätzungen, da die Berechnung sonst fehlerhaft ist. </v>
      </c>
    </row>
    <row r="196" spans="4:11" ht="15.75" customHeight="1">
      <c r="D196" s="453">
        <f t="shared" si="5"/>
        <v>0</v>
      </c>
      <c r="E196" s="454"/>
      <c r="G196" s="460"/>
      <c r="H196" s="454"/>
      <c r="I196" s="454"/>
      <c r="J196" s="454"/>
      <c r="K196" s="454"/>
    </row>
    <row r="197" spans="4:11" ht="15.75" customHeight="1">
      <c r="D197" s="453">
        <f t="shared" si="5"/>
        <v>0</v>
      </c>
      <c r="E197" s="454"/>
      <c r="G197" s="460"/>
      <c r="H197" s="454"/>
      <c r="I197" s="454"/>
      <c r="J197" s="454"/>
      <c r="K197" s="454"/>
    </row>
    <row r="198" spans="4:11" ht="15.75" customHeight="1">
      <c r="D198" s="453">
        <f t="shared" si="5"/>
        <v>0</v>
      </c>
      <c r="E198" s="454"/>
      <c r="G198" s="460"/>
      <c r="H198" s="454"/>
      <c r="I198" s="454"/>
      <c r="J198" s="454"/>
      <c r="K198" s="454"/>
    </row>
    <row r="199" spans="4:11" ht="15.75" customHeight="1">
      <c r="D199" s="453">
        <f t="shared" si="5"/>
        <v>0</v>
      </c>
      <c r="E199" s="454"/>
      <c r="G199" s="460"/>
      <c r="H199" s="454"/>
      <c r="I199" s="454"/>
      <c r="J199" s="454"/>
      <c r="K199" s="454"/>
    </row>
    <row r="200" spans="4:11" ht="15.75" customHeight="1">
      <c r="D200" s="453">
        <f t="shared" si="5"/>
        <v>0</v>
      </c>
      <c r="E200" s="454"/>
      <c r="G200" s="460"/>
      <c r="H200" s="454"/>
      <c r="I200" s="454"/>
      <c r="J200" s="454"/>
      <c r="K200" s="454"/>
    </row>
    <row r="201" spans="4:11" ht="15.75" customHeight="1">
      <c r="D201" s="453">
        <f t="shared" si="5"/>
        <v>0</v>
      </c>
      <c r="E201" s="454"/>
      <c r="G201" s="460"/>
      <c r="H201" s="454"/>
      <c r="I201" s="454"/>
      <c r="J201" s="454"/>
      <c r="K201" s="454"/>
    </row>
    <row r="202" spans="4:11" ht="15.75" customHeight="1">
      <c r="D202" s="453" t="str">
        <f t="shared" si="5"/>
        <v>bitte einfügen</v>
      </c>
      <c r="E202" s="454" t="s">
        <v>1466</v>
      </c>
      <c r="F202" s="454" t="s">
        <v>1467</v>
      </c>
      <c r="G202" s="460" t="s">
        <v>1468</v>
      </c>
      <c r="H202" s="454" t="s">
        <v>1469</v>
      </c>
      <c r="I202" s="454" t="str">
        <f t="shared" ref="I202:I338" si="12">"[fr]"&amp;E202</f>
        <v>[fr]bitte einfügen</v>
      </c>
      <c r="J202" s="454" t="str">
        <f t="shared" ref="J202:J456" si="13">"[pt]"&amp;E202</f>
        <v>[pt]bitte einfügen</v>
      </c>
      <c r="K202" s="454" t="str">
        <f t="shared" ref="K202:K456" si="14">"[gr]"&amp;E202</f>
        <v>[gr]bitte einfügen</v>
      </c>
    </row>
    <row r="203" spans="4:11" ht="15.75" customHeight="1">
      <c r="D203" s="453" t="str">
        <f t="shared" si="5"/>
        <v>Bitte Auswählen</v>
      </c>
      <c r="E203" s="454" t="s">
        <v>1470</v>
      </c>
      <c r="F203" s="454" t="s">
        <v>1471</v>
      </c>
      <c r="G203" s="460" t="s">
        <v>1472</v>
      </c>
      <c r="H203" s="454" t="s">
        <v>1473</v>
      </c>
      <c r="I203" s="454" t="str">
        <f t="shared" si="12"/>
        <v>[fr]Bitte Auswählen</v>
      </c>
      <c r="J203" s="454" t="str">
        <f t="shared" si="13"/>
        <v>[pt]Bitte Auswählen</v>
      </c>
      <c r="K203" s="454" t="str">
        <f t="shared" si="14"/>
        <v>[gr]Bitte Auswählen</v>
      </c>
    </row>
    <row r="204" spans="4:11" ht="15.75" customHeight="1">
      <c r="D204" s="453" t="str">
        <f t="shared" si="5"/>
        <v>Beschreibung des Gewichtungsmodelles</v>
      </c>
      <c r="E204" s="454" t="s">
        <v>1474</v>
      </c>
      <c r="F204" s="454" t="s">
        <v>1475</v>
      </c>
      <c r="G204" s="460" t="s">
        <v>1476</v>
      </c>
      <c r="H204" s="454" t="s">
        <v>1477</v>
      </c>
      <c r="I204" s="454" t="str">
        <f t="shared" si="12"/>
        <v>[fr]Beschreibung des Gewichtungsmodelles</v>
      </c>
      <c r="J204" s="454" t="str">
        <f t="shared" si="13"/>
        <v>[pt]Beschreibung des Gewichtungsmodelles</v>
      </c>
      <c r="K204" s="454" t="str">
        <f t="shared" si="14"/>
        <v>[gr]Beschreibung des Gewichtungsmodelles</v>
      </c>
    </row>
    <row r="205" spans="4:11" ht="15.75" customHeight="1">
      <c r="D205" s="453" t="str">
        <f t="shared" si="5"/>
        <v>Themen</v>
      </c>
      <c r="E205" s="454" t="s">
        <v>1478</v>
      </c>
      <c r="F205" s="454" t="s">
        <v>1479</v>
      </c>
      <c r="G205" s="460" t="s">
        <v>1480</v>
      </c>
      <c r="H205" s="454" t="s">
        <v>1481</v>
      </c>
      <c r="I205" s="454" t="str">
        <f t="shared" si="12"/>
        <v>[fr]Themen</v>
      </c>
      <c r="J205" s="454" t="str">
        <f t="shared" si="13"/>
        <v>[pt]Themen</v>
      </c>
      <c r="K205" s="454" t="str">
        <f t="shared" si="14"/>
        <v>[gr]Themen</v>
      </c>
    </row>
    <row r="206" spans="4:11" ht="28.5" customHeight="1">
      <c r="D206" s="453" t="str">
        <f t="shared" si="5"/>
        <v>Werte ►
Berührungsgruppe ▼</v>
      </c>
      <c r="E206" s="501" t="s">
        <v>1482</v>
      </c>
      <c r="F206" s="501" t="s">
        <v>1483</v>
      </c>
      <c r="G206" s="501" t="s">
        <v>1484</v>
      </c>
      <c r="H206" s="454" t="s">
        <v>1485</v>
      </c>
      <c r="I206" s="454" t="str">
        <f t="shared" si="12"/>
        <v>[fr]Werte ►
Berührungsgruppe ▼</v>
      </c>
      <c r="J206" s="454" t="str">
        <f t="shared" si="13"/>
        <v>[pt]Werte ►
Berührungsgruppe ▼</v>
      </c>
      <c r="K206" s="454" t="str">
        <f t="shared" si="14"/>
        <v>[gr]Werte ►
Berührungsgruppe ▼</v>
      </c>
    </row>
    <row r="207" spans="4:11" ht="15.75" customHeight="1">
      <c r="D207" s="453" t="str">
        <f t="shared" si="5"/>
        <v>Berührungsgruppen &amp; Werte</v>
      </c>
      <c r="E207" s="454" t="s">
        <v>1486</v>
      </c>
      <c r="F207" s="501" t="s">
        <v>1487</v>
      </c>
      <c r="G207" s="502" t="s">
        <v>1488</v>
      </c>
      <c r="H207" s="454" t="s">
        <v>1489</v>
      </c>
      <c r="I207" s="454" t="str">
        <f t="shared" si="12"/>
        <v>[fr]Berührungsgruppen &amp; Werte</v>
      </c>
      <c r="J207" s="454" t="str">
        <f t="shared" si="13"/>
        <v>[pt]Berührungsgruppen &amp; Werte</v>
      </c>
      <c r="K207" s="454" t="str">
        <f t="shared" si="14"/>
        <v>[gr]Berührungsgruppen &amp; Werte</v>
      </c>
    </row>
    <row r="208" spans="4:11" ht="15.75" customHeight="1">
      <c r="D208" s="453" t="str">
        <f t="shared" si="5"/>
        <v>Allgemein</v>
      </c>
      <c r="E208" s="454" t="s">
        <v>1490</v>
      </c>
      <c r="F208" s="454" t="s">
        <v>1491</v>
      </c>
      <c r="G208" s="460" t="s">
        <v>1492</v>
      </c>
      <c r="H208" s="454" t="s">
        <v>1492</v>
      </c>
      <c r="I208" s="454" t="str">
        <f t="shared" si="12"/>
        <v>[fr]Allgemein</v>
      </c>
      <c r="J208" s="454" t="str">
        <f t="shared" si="13"/>
        <v>[pt]Allgemein</v>
      </c>
      <c r="K208" s="454" t="str">
        <f t="shared" si="14"/>
        <v>[gr]Allgemein</v>
      </c>
    </row>
    <row r="209" spans="4:11" ht="15.75" customHeight="1">
      <c r="D209" s="453" t="str">
        <f t="shared" si="5"/>
        <v>Anmerkungen</v>
      </c>
      <c r="E209" s="454" t="s">
        <v>1493</v>
      </c>
      <c r="F209" s="454" t="s">
        <v>1494</v>
      </c>
      <c r="G209" s="460" t="s">
        <v>1495</v>
      </c>
      <c r="H209" s="454" t="s">
        <v>1496</v>
      </c>
      <c r="I209" s="454" t="str">
        <f t="shared" si="12"/>
        <v>[fr]Anmerkungen</v>
      </c>
      <c r="J209" s="454" t="str">
        <f t="shared" si="13"/>
        <v>[pt]Anmerkungen</v>
      </c>
      <c r="K209" s="454" t="str">
        <f t="shared" si="14"/>
        <v>[gr]Anmerkungen</v>
      </c>
    </row>
    <row r="210" spans="4:11" ht="15.75" customHeight="1">
      <c r="D210" s="453" t="str">
        <f t="shared" si="5"/>
        <v xml:space="preserve"> (für EPUs skaliert)</v>
      </c>
      <c r="E210" s="454" t="s">
        <v>1497</v>
      </c>
      <c r="F210" s="454" t="s">
        <v>1498</v>
      </c>
      <c r="G210" s="460" t="s">
        <v>1499</v>
      </c>
      <c r="H210" s="454" t="s">
        <v>1500</v>
      </c>
      <c r="I210" s="454" t="str">
        <f t="shared" si="12"/>
        <v>[fr] (für EPUs skaliert)</v>
      </c>
      <c r="J210" s="454" t="str">
        <f t="shared" si="13"/>
        <v>[pt] (für EPUs skaliert)</v>
      </c>
      <c r="K210" s="454" t="str">
        <f t="shared" si="14"/>
        <v>[gr] (für EPUs skaliert)</v>
      </c>
    </row>
    <row r="211" spans="4:11" ht="15.75" customHeight="1">
      <c r="D211" s="453" t="str">
        <f t="shared" si="5"/>
        <v xml:space="preserve"> (für EPUs nicht relevant)</v>
      </c>
      <c r="E211" s="454" t="s">
        <v>1501</v>
      </c>
      <c r="F211" s="454" t="s">
        <v>1502</v>
      </c>
      <c r="G211" s="460" t="s">
        <v>1503</v>
      </c>
      <c r="H211" s="454" t="s">
        <v>1504</v>
      </c>
      <c r="I211" s="454" t="str">
        <f t="shared" si="12"/>
        <v>[fr] (für EPUs nicht relevant)</v>
      </c>
      <c r="J211" s="454" t="str">
        <f t="shared" si="13"/>
        <v>[pt] (für EPUs nicht relevant)</v>
      </c>
      <c r="K211" s="454" t="str">
        <f t="shared" si="14"/>
        <v>[gr] (für EPUs nicht relevant)</v>
      </c>
    </row>
    <row r="212" spans="4:11" ht="15.75" customHeight="1">
      <c r="D212" s="453" t="str">
        <f t="shared" si="5"/>
        <v>Anmerkung: Dies ist kein Testat.</v>
      </c>
      <c r="E212" s="454" t="s">
        <v>1505</v>
      </c>
      <c r="F212" s="454" t="s">
        <v>1506</v>
      </c>
      <c r="G212" s="460" t="s">
        <v>1507</v>
      </c>
      <c r="H212" s="454" t="s">
        <v>1508</v>
      </c>
      <c r="I212" s="454" t="str">
        <f t="shared" si="12"/>
        <v>[fr]Anmerkung: Dies ist kein Testat.</v>
      </c>
      <c r="J212" s="454" t="str">
        <f t="shared" si="13"/>
        <v>[pt]Anmerkung: Dies ist kein Testat.</v>
      </c>
      <c r="K212" s="454" t="str">
        <f t="shared" si="14"/>
        <v>[gr]Anmerkung: Dies ist kein Testat.</v>
      </c>
    </row>
    <row r="213" spans="4:11" ht="15.75" customHeight="1">
      <c r="D213" s="453" t="str">
        <f t="shared" si="5"/>
        <v>GEMEINWOHL-MATRIX</v>
      </c>
      <c r="E213" s="454" t="s">
        <v>1509</v>
      </c>
      <c r="F213" s="454" t="s">
        <v>1510</v>
      </c>
      <c r="G213" s="460" t="s">
        <v>1511</v>
      </c>
      <c r="H213" s="454" t="s">
        <v>1512</v>
      </c>
      <c r="I213" s="454" t="str">
        <f t="shared" si="12"/>
        <v>[fr]GEMEINWOHL-MATRIX</v>
      </c>
      <c r="J213" s="454" t="str">
        <f t="shared" si="13"/>
        <v>[pt]GEMEINWOHL-MATRIX</v>
      </c>
      <c r="K213" s="454" t="str">
        <f t="shared" si="14"/>
        <v>[gr]GEMEINWOHL-MATRIX</v>
      </c>
    </row>
    <row r="214" spans="4:11" ht="15.75" customHeight="1">
      <c r="D214" s="453" t="str">
        <f t="shared" si="5"/>
        <v xml:space="preserve"> von </v>
      </c>
      <c r="E214" s="454" t="s">
        <v>1513</v>
      </c>
      <c r="F214" s="454" t="s">
        <v>1514</v>
      </c>
      <c r="G214" s="460" t="s">
        <v>1515</v>
      </c>
      <c r="H214" s="454" t="s">
        <v>1516</v>
      </c>
      <c r="I214" s="454" t="str">
        <f t="shared" si="12"/>
        <v xml:space="preserve">[fr] von </v>
      </c>
      <c r="J214" s="454" t="str">
        <f t="shared" si="13"/>
        <v xml:space="preserve">[pt] von </v>
      </c>
      <c r="K214" s="454" t="str">
        <f t="shared" si="14"/>
        <v xml:space="preserve">[gr] von </v>
      </c>
    </row>
    <row r="215" spans="4:11" ht="15.75" customHeight="1">
      <c r="D215" s="453" t="str">
        <f t="shared" si="5"/>
        <v xml:space="preserve"> Punkten</v>
      </c>
      <c r="E215" s="454" t="s">
        <v>1517</v>
      </c>
      <c r="F215" s="454" t="s">
        <v>1518</v>
      </c>
      <c r="G215" s="460" t="s">
        <v>1519</v>
      </c>
      <c r="H215" s="454" t="s">
        <v>3200</v>
      </c>
      <c r="I215" s="454" t="str">
        <f t="shared" si="12"/>
        <v>[fr] Punkten</v>
      </c>
      <c r="J215" s="454" t="str">
        <f t="shared" si="13"/>
        <v>[pt] Punkten</v>
      </c>
      <c r="K215" s="454" t="str">
        <f t="shared" si="14"/>
        <v>[gr] Punkten</v>
      </c>
    </row>
    <row r="216" spans="4:11" ht="15.75" customHeight="1">
      <c r="D216" s="453" t="str">
        <f t="shared" si="5"/>
        <v>Menschenwürde</v>
      </c>
      <c r="E216" s="454" t="s">
        <v>1520</v>
      </c>
      <c r="F216" s="454" t="s">
        <v>1521</v>
      </c>
      <c r="G216" s="460" t="s">
        <v>1522</v>
      </c>
      <c r="H216" s="454" t="s">
        <v>1523</v>
      </c>
      <c r="I216" s="454" t="str">
        <f t="shared" si="12"/>
        <v>[fr]Menschenwürde</v>
      </c>
      <c r="J216" s="454" t="str">
        <f t="shared" si="13"/>
        <v>[pt]Menschenwürde</v>
      </c>
      <c r="K216" s="454" t="str">
        <f t="shared" si="14"/>
        <v>[gr]Menschenwürde</v>
      </c>
    </row>
    <row r="217" spans="4:11" ht="15.75" customHeight="1">
      <c r="D217" s="453" t="str">
        <f t="shared" si="5"/>
        <v>Solidarität &amp; Gerechtigkeit</v>
      </c>
      <c r="E217" s="454" t="s">
        <v>1524</v>
      </c>
      <c r="F217" s="454" t="s">
        <v>1525</v>
      </c>
      <c r="G217" s="460" t="s">
        <v>1526</v>
      </c>
      <c r="H217" s="454" t="s">
        <v>1527</v>
      </c>
      <c r="I217" s="454" t="str">
        <f t="shared" si="12"/>
        <v>[fr]Solidarität &amp; Gerechtigkeit</v>
      </c>
      <c r="J217" s="454" t="str">
        <f t="shared" si="13"/>
        <v>[pt]Solidarität &amp; Gerechtigkeit</v>
      </c>
      <c r="K217" s="454" t="str">
        <f t="shared" si="14"/>
        <v>[gr]Solidarität &amp; Gerechtigkeit</v>
      </c>
    </row>
    <row r="218" spans="4:11" ht="15.75" customHeight="1">
      <c r="D218" s="453" t="str">
        <f t="shared" si="5"/>
        <v>Ökologische Nachhaltigkeit</v>
      </c>
      <c r="E218" s="454" t="s">
        <v>1528</v>
      </c>
      <c r="F218" s="454" t="s">
        <v>1529</v>
      </c>
      <c r="G218" s="460" t="s">
        <v>1530</v>
      </c>
      <c r="H218" s="454" t="s">
        <v>1531</v>
      </c>
      <c r="I218" s="454" t="str">
        <f t="shared" si="12"/>
        <v>[fr]Ökologische Nachhaltigkeit</v>
      </c>
      <c r="J218" s="454" t="str">
        <f t="shared" si="13"/>
        <v>[pt]Ökologische Nachhaltigkeit</v>
      </c>
      <c r="K218" s="454" t="str">
        <f t="shared" si="14"/>
        <v>[gr]Ökologische Nachhaltigkeit</v>
      </c>
    </row>
    <row r="219" spans="4:11" ht="15.75" customHeight="1">
      <c r="D219" s="453" t="str">
        <f t="shared" si="5"/>
        <v>Transparenz &amp; Mitentscheidung</v>
      </c>
      <c r="E219" s="454" t="s">
        <v>1532</v>
      </c>
      <c r="F219" s="454" t="s">
        <v>1533</v>
      </c>
      <c r="G219" s="460" t="s">
        <v>1534</v>
      </c>
      <c r="H219" s="454" t="s">
        <v>1535</v>
      </c>
      <c r="I219" s="454" t="str">
        <f t="shared" si="12"/>
        <v>[fr]Transparenz &amp; Mitentscheidung</v>
      </c>
      <c r="J219" s="454" t="str">
        <f t="shared" si="13"/>
        <v>[pt]Transparenz &amp; Mitentscheidung</v>
      </c>
      <c r="K219" s="454" t="str">
        <f t="shared" si="14"/>
        <v>[gr]Transparenz &amp; Mitentscheidung</v>
      </c>
    </row>
    <row r="220" spans="4:11" ht="15.75" customHeight="1">
      <c r="D220" s="453" t="str">
        <f t="shared" si="5"/>
        <v>Gemeinwohl-Stern für</v>
      </c>
      <c r="E220" s="454" t="s">
        <v>1536</v>
      </c>
      <c r="F220" s="454" t="s">
        <v>1537</v>
      </c>
      <c r="G220" s="460" t="s">
        <v>1538</v>
      </c>
      <c r="H220" s="454" t="s">
        <v>1539</v>
      </c>
      <c r="I220" s="454" t="str">
        <f t="shared" si="12"/>
        <v>[fr]Gemeinwohl-Stern für</v>
      </c>
      <c r="J220" s="454" t="str">
        <f t="shared" si="13"/>
        <v>[pt]Gemeinwohl-Stern für</v>
      </c>
      <c r="K220" s="454" t="str">
        <f t="shared" si="14"/>
        <v>[gr]Gemeinwohl-Stern für</v>
      </c>
    </row>
    <row r="221" spans="4:11" ht="15.75" customHeight="1">
      <c r="D221" s="453" t="str">
        <f t="shared" si="5"/>
        <v>BILANZ-ÜBERSICHT</v>
      </c>
      <c r="E221" s="454" t="s">
        <v>1540</v>
      </c>
      <c r="F221" s="454" t="s">
        <v>1541</v>
      </c>
      <c r="G221" s="460" t="s">
        <v>1542</v>
      </c>
      <c r="H221" s="454" t="s">
        <v>1543</v>
      </c>
      <c r="I221" s="454" t="str">
        <f t="shared" si="12"/>
        <v>[fr]BILANZ-ÜBERSICHT</v>
      </c>
      <c r="J221" s="454" t="str">
        <f t="shared" si="13"/>
        <v>[pt]BILANZ-ÜBERSICHT</v>
      </c>
      <c r="K221" s="454" t="str">
        <f t="shared" si="14"/>
        <v>[gr]BILANZ-ÜBERSICHT</v>
      </c>
    </row>
    <row r="222" spans="4:11" ht="15.75" customHeight="1">
      <c r="D222" s="453" t="str">
        <f t="shared" si="5"/>
        <v>MITBESTIMMUNG UND TRANSPARENZ</v>
      </c>
      <c r="E222" s="454" t="s">
        <v>1544</v>
      </c>
      <c r="F222" s="454" t="s">
        <v>1545</v>
      </c>
      <c r="G222" s="460" t="s">
        <v>1546</v>
      </c>
      <c r="H222" s="454" t="s">
        <v>1547</v>
      </c>
      <c r="I222" s="454" t="str">
        <f t="shared" si="12"/>
        <v>[fr]MITBESTIMMUNG UND TRANSPARENZ</v>
      </c>
      <c r="J222" s="454" t="str">
        <f t="shared" si="13"/>
        <v>[pt]MITBESTIMMUNG UND TRANSPARENZ</v>
      </c>
      <c r="K222" s="454" t="str">
        <f t="shared" si="14"/>
        <v>[gr]MITBESTIMMUNG UND TRANSPARENZ</v>
      </c>
    </row>
    <row r="223" spans="4:11" ht="15.75" customHeight="1">
      <c r="D223" s="453" t="str">
        <f t="shared" si="5"/>
        <v>MENSCHENWÜRDE</v>
      </c>
      <c r="E223" s="454" t="s">
        <v>1548</v>
      </c>
      <c r="F223" s="454" t="s">
        <v>1549</v>
      </c>
      <c r="G223" s="460" t="s">
        <v>1550</v>
      </c>
      <c r="H223" s="454" t="s">
        <v>1551</v>
      </c>
      <c r="I223" s="454" t="str">
        <f t="shared" si="12"/>
        <v>[fr]MENSCHENWÜRDE</v>
      </c>
      <c r="J223" s="454" t="str">
        <f t="shared" si="13"/>
        <v>[pt]MENSCHENWÜRDE</v>
      </c>
      <c r="K223" s="454" t="str">
        <f t="shared" si="14"/>
        <v>[gr]MENSCHENWÜRDE</v>
      </c>
    </row>
    <row r="224" spans="4:11" ht="15.75" customHeight="1">
      <c r="D224" s="453" t="str">
        <f t="shared" si="5"/>
        <v>SOLIDARITÄT</v>
      </c>
      <c r="E224" s="454" t="s">
        <v>1552</v>
      </c>
      <c r="F224" s="454" t="s">
        <v>1553</v>
      </c>
      <c r="G224" s="460" t="s">
        <v>1554</v>
      </c>
      <c r="H224" s="454" t="s">
        <v>1555</v>
      </c>
      <c r="I224" s="454" t="str">
        <f t="shared" si="12"/>
        <v>[fr]SOLIDARITÄT</v>
      </c>
      <c r="J224" s="454" t="str">
        <f t="shared" si="13"/>
        <v>[pt]SOLIDARITÄT</v>
      </c>
      <c r="K224" s="454" t="str">
        <f t="shared" si="14"/>
        <v>[gr]SOLIDARITÄT</v>
      </c>
    </row>
    <row r="225" spans="3:11" ht="15.75" customHeight="1">
      <c r="D225" s="453" t="str">
        <f t="shared" si="5"/>
        <v>ÖKOLOGISCHE NACHHALTIGKEIT</v>
      </c>
      <c r="E225" s="454" t="s">
        <v>1556</v>
      </c>
      <c r="F225" s="454" t="s">
        <v>1557</v>
      </c>
      <c r="G225" s="460" t="s">
        <v>1558</v>
      </c>
      <c r="H225" s="454" t="s">
        <v>1559</v>
      </c>
      <c r="I225" s="454" t="str">
        <f t="shared" si="12"/>
        <v>[fr]ÖKOLOGISCHE NACHHALTIGKEIT</v>
      </c>
      <c r="J225" s="454" t="str">
        <f t="shared" si="13"/>
        <v>[pt]ÖKOLOGISCHE NACHHALTIGKEIT</v>
      </c>
      <c r="K225" s="454" t="str">
        <f t="shared" si="14"/>
        <v>[gr]ÖKOLOGISCHE NACHHALTIGKEIT</v>
      </c>
    </row>
    <row r="226" spans="3:11" ht="15.75" customHeight="1">
      <c r="D226" s="453" t="str">
        <f t="shared" si="5"/>
        <v>SOZIALE GERECHTIGKEIT</v>
      </c>
      <c r="E226" s="454" t="s">
        <v>1560</v>
      </c>
      <c r="F226" s="454" t="s">
        <v>1561</v>
      </c>
      <c r="G226" s="460" t="s">
        <v>1562</v>
      </c>
      <c r="H226" s="454" t="s">
        <v>1563</v>
      </c>
      <c r="I226" s="454" t="str">
        <f t="shared" si="12"/>
        <v>[fr]SOZIALE GERECHTIGKEIT</v>
      </c>
      <c r="J226" s="454" t="str">
        <f t="shared" si="13"/>
        <v>[pt]SOZIALE GERECHTIGKEIT</v>
      </c>
      <c r="K226" s="454" t="str">
        <f t="shared" si="14"/>
        <v>[gr]SOZIALE GERECHTIGKEIT</v>
      </c>
    </row>
    <row r="227" spans="3:11" ht="15.75" customHeight="1">
      <c r="D227" s="453" t="str">
        <f t="shared" si="5"/>
        <v>MITBESTIMMUNG UND TRANSPARENZ</v>
      </c>
      <c r="E227" s="454" t="s">
        <v>1544</v>
      </c>
      <c r="F227" s="454" t="s">
        <v>1545</v>
      </c>
      <c r="G227" s="460" t="s">
        <v>1546</v>
      </c>
      <c r="H227" s="454" t="s">
        <v>1547</v>
      </c>
      <c r="I227" s="454" t="str">
        <f t="shared" si="12"/>
        <v>[fr]MITBESTIMMUNG UND TRANSPARENZ</v>
      </c>
      <c r="J227" s="454" t="str">
        <f t="shared" si="13"/>
        <v>[pt]MITBESTIMMUNG UND TRANSPARENZ</v>
      </c>
      <c r="K227" s="454" t="str">
        <f t="shared" si="14"/>
        <v>[gr]MITBESTIMMUNG UND TRANSPARENZ</v>
      </c>
    </row>
    <row r="228" spans="3:11" ht="15.75" customHeight="1">
      <c r="D228" s="453" t="str">
        <f t="shared" si="5"/>
        <v>SUMME</v>
      </c>
      <c r="E228" s="454" t="s">
        <v>1564</v>
      </c>
      <c r="F228" s="454" t="s">
        <v>1565</v>
      </c>
      <c r="G228" s="460" t="s">
        <v>1566</v>
      </c>
      <c r="H228" s="454" t="s">
        <v>1566</v>
      </c>
      <c r="I228" s="454" t="str">
        <f t="shared" si="12"/>
        <v>[fr]SUMME</v>
      </c>
      <c r="J228" s="454" t="str">
        <f t="shared" si="13"/>
        <v>[pt]SUMME</v>
      </c>
      <c r="K228" s="454" t="str">
        <f t="shared" si="14"/>
        <v>[gr]SUMME</v>
      </c>
    </row>
    <row r="229" spans="3:11" ht="15.75" customHeight="1">
      <c r="D229" s="453" t="str">
        <f t="shared" si="5"/>
        <v>(für EPUs skaliert)</v>
      </c>
      <c r="E229" s="454" t="s">
        <v>1567</v>
      </c>
      <c r="F229" s="454" t="s">
        <v>1568</v>
      </c>
      <c r="G229" s="460" t="s">
        <v>1569</v>
      </c>
      <c r="H229" s="454" t="s">
        <v>1500</v>
      </c>
      <c r="I229" s="454" t="str">
        <f t="shared" si="12"/>
        <v>[fr](für EPUs skaliert)</v>
      </c>
      <c r="J229" s="454" t="str">
        <f t="shared" si="13"/>
        <v>[pt](für EPUs skaliert)</v>
      </c>
      <c r="K229" s="454" t="str">
        <f t="shared" si="14"/>
        <v>[gr](für EPUs skaliert)</v>
      </c>
    </row>
    <row r="230" spans="3:11" ht="15.75" customHeight="1">
      <c r="D230" s="453" t="str">
        <f t="shared" si="5"/>
        <v>Dokumentation der Bewertung</v>
      </c>
      <c r="E230" s="454" t="s">
        <v>1570</v>
      </c>
      <c r="F230" s="454" t="s">
        <v>1571</v>
      </c>
      <c r="G230" s="460" t="s">
        <v>1572</v>
      </c>
      <c r="H230" s="454" t="s">
        <v>1573</v>
      </c>
      <c r="I230" s="454" t="str">
        <f t="shared" si="12"/>
        <v>[fr]Dokumentation der Bewertung</v>
      </c>
      <c r="J230" s="454" t="str">
        <f t="shared" si="13"/>
        <v>[pt]Dokumentation der Bewertung</v>
      </c>
      <c r="K230" s="454" t="str">
        <f t="shared" si="14"/>
        <v>[gr]Dokumentation der Bewertung</v>
      </c>
    </row>
    <row r="231" spans="3:11" ht="15.75" customHeight="1">
      <c r="D231" s="453" t="str">
        <f t="shared" si="5"/>
        <v>Selbsteinschätzung</v>
      </c>
      <c r="E231" s="454" t="s">
        <v>1574</v>
      </c>
      <c r="F231" s="454" t="s">
        <v>1575</v>
      </c>
      <c r="G231" s="460" t="s">
        <v>1576</v>
      </c>
      <c r="H231" s="454" t="s">
        <v>1577</v>
      </c>
      <c r="I231" s="454" t="str">
        <f t="shared" si="12"/>
        <v>[fr]Selbsteinschätzung</v>
      </c>
      <c r="J231" s="454" t="str">
        <f t="shared" si="13"/>
        <v>[pt]Selbsteinschätzung</v>
      </c>
      <c r="K231" s="454" t="str">
        <f t="shared" si="14"/>
        <v>[gr]Selbsteinschätzung</v>
      </c>
    </row>
    <row r="232" spans="3:11" ht="15.75" customHeight="1">
      <c r="D232" s="453" t="str">
        <f t="shared" si="5"/>
        <v>Peer-Evaluation</v>
      </c>
      <c r="E232" s="503" t="s">
        <v>1578</v>
      </c>
      <c r="F232" s="503" t="s">
        <v>1579</v>
      </c>
      <c r="G232" s="504" t="s">
        <v>1580</v>
      </c>
      <c r="H232" s="454" t="s">
        <v>1581</v>
      </c>
      <c r="I232" s="454" t="str">
        <f t="shared" si="12"/>
        <v>[fr]Peer-Evaluation</v>
      </c>
      <c r="J232" s="454" t="str">
        <f t="shared" si="13"/>
        <v>[pt]Peer-Evaluation</v>
      </c>
      <c r="K232" s="454" t="str">
        <f t="shared" si="14"/>
        <v>[gr]Peer-Evaluation</v>
      </c>
    </row>
    <row r="233" spans="3:11" ht="15.75" customHeight="1">
      <c r="D233" s="453" t="str">
        <f t="shared" si="5"/>
        <v>Provisorische Bewertung des externen Audits</v>
      </c>
      <c r="E233" s="503" t="s">
        <v>1582</v>
      </c>
      <c r="F233" s="503" t="s">
        <v>1583</v>
      </c>
      <c r="G233" s="504" t="s">
        <v>1584</v>
      </c>
      <c r="H233" s="454" t="s">
        <v>1585</v>
      </c>
      <c r="I233" s="454" t="str">
        <f t="shared" si="12"/>
        <v>[fr]Provisorische Bewertung des externen Audits</v>
      </c>
      <c r="J233" s="454" t="str">
        <f t="shared" si="13"/>
        <v>[pt]Provisorische Bewertung des externen Audits</v>
      </c>
      <c r="K233" s="454" t="str">
        <f t="shared" si="14"/>
        <v>[gr]Provisorische Bewertung des externen Audits</v>
      </c>
    </row>
    <row r="234" spans="3:11" ht="15.75" customHeight="1">
      <c r="D234" s="453" t="str">
        <f t="shared" si="5"/>
        <v>Definitive Bewertung externen Audits /Peer</v>
      </c>
      <c r="E234" s="503" t="s">
        <v>1586</v>
      </c>
      <c r="F234" s="503" t="s">
        <v>1587</v>
      </c>
      <c r="G234" s="504" t="s">
        <v>1588</v>
      </c>
      <c r="H234" s="454" t="s">
        <v>1589</v>
      </c>
      <c r="I234" s="454" t="str">
        <f t="shared" si="12"/>
        <v>[fr]Definitive Bewertung externen Audits /Peer</v>
      </c>
      <c r="J234" s="454" t="str">
        <f t="shared" si="13"/>
        <v>[pt]Definitive Bewertung externen Audits /Peer</v>
      </c>
      <c r="K234" s="454" t="str">
        <f t="shared" si="14"/>
        <v>[gr]Definitive Bewertung externen Audits /Peer</v>
      </c>
    </row>
    <row r="235" spans="3:11" ht="15.75" customHeight="1">
      <c r="D235" s="453" t="str">
        <f t="shared" si="5"/>
        <v>Passwort für den Schutz der Tabellen: „ebc“</v>
      </c>
      <c r="E235" s="454" t="s">
        <v>1590</v>
      </c>
      <c r="F235" s="454" t="s">
        <v>1591</v>
      </c>
      <c r="G235" s="460" t="s">
        <v>1592</v>
      </c>
      <c r="H235" s="454" t="s">
        <v>1593</v>
      </c>
      <c r="I235" s="454" t="str">
        <f t="shared" si="12"/>
        <v>[fr]Passwort für den Schutz der Tabellen: „ebc“</v>
      </c>
      <c r="J235" s="454" t="str">
        <f t="shared" si="13"/>
        <v>[pt]Passwort für den Schutz der Tabellen: „ebc“</v>
      </c>
      <c r="K235" s="454" t="str">
        <f t="shared" si="14"/>
        <v>[gr]Passwort für den Schutz der Tabellen: „ebc“</v>
      </c>
    </row>
    <row r="236" spans="3:11" ht="15.75" customHeight="1">
      <c r="C236" s="474">
        <v>3</v>
      </c>
      <c r="D236" s="453" t="str">
        <f t="shared" si="5"/>
        <v>hoch</v>
      </c>
      <c r="E236" s="454" t="s">
        <v>151</v>
      </c>
      <c r="F236" s="454" t="s">
        <v>1000</v>
      </c>
      <c r="G236" s="460" t="s">
        <v>1001</v>
      </c>
      <c r="H236" s="454" t="s">
        <v>1594</v>
      </c>
      <c r="I236" s="454" t="str">
        <f t="shared" si="12"/>
        <v>[fr]hoch</v>
      </c>
      <c r="J236" s="454" t="str">
        <f t="shared" si="13"/>
        <v>[pt]hoch</v>
      </c>
      <c r="K236" s="454" t="str">
        <f t="shared" si="14"/>
        <v>[gr]hoch</v>
      </c>
    </row>
    <row r="237" spans="3:11" ht="15.75" customHeight="1">
      <c r="C237" s="474">
        <v>2</v>
      </c>
      <c r="D237" s="453" t="str">
        <f t="shared" si="5"/>
        <v>mittel</v>
      </c>
      <c r="E237" s="454" t="s">
        <v>150</v>
      </c>
      <c r="F237" s="454" t="s">
        <v>1003</v>
      </c>
      <c r="G237" s="460" t="s">
        <v>1004</v>
      </c>
      <c r="H237" s="454" t="s">
        <v>1595</v>
      </c>
      <c r="I237" s="454" t="str">
        <f t="shared" si="12"/>
        <v>[fr]mittel</v>
      </c>
      <c r="J237" s="454" t="str">
        <f t="shared" si="13"/>
        <v>[pt]mittel</v>
      </c>
      <c r="K237" s="454" t="str">
        <f t="shared" si="14"/>
        <v>[gr]mittel</v>
      </c>
    </row>
    <row r="238" spans="3:11" ht="15.75" customHeight="1">
      <c r="C238" s="474">
        <v>1</v>
      </c>
      <c r="D238" s="453" t="str">
        <f t="shared" si="5"/>
        <v>niedrig</v>
      </c>
      <c r="E238" s="454" t="s">
        <v>149</v>
      </c>
      <c r="F238" s="454" t="s">
        <v>1006</v>
      </c>
      <c r="G238" s="460" t="s">
        <v>1007</v>
      </c>
      <c r="H238" s="454" t="s">
        <v>1596</v>
      </c>
      <c r="I238" s="454" t="str">
        <f t="shared" si="12"/>
        <v>[fr]niedrig</v>
      </c>
      <c r="J238" s="454" t="str">
        <f t="shared" si="13"/>
        <v>[pt]niedrig</v>
      </c>
      <c r="K238" s="454" t="str">
        <f t="shared" si="14"/>
        <v>[gr]niedrig</v>
      </c>
    </row>
    <row r="239" spans="3:11" ht="15.75" customHeight="1">
      <c r="C239" s="474">
        <v>0</v>
      </c>
      <c r="D239" s="453" t="str">
        <f t="shared" si="5"/>
        <v>trifft nicht zu</v>
      </c>
      <c r="E239" s="454" t="s">
        <v>148</v>
      </c>
      <c r="F239" s="454" t="s">
        <v>1597</v>
      </c>
      <c r="G239" s="460" t="s">
        <v>1598</v>
      </c>
      <c r="H239" s="454" t="s">
        <v>1599</v>
      </c>
      <c r="I239" s="454" t="str">
        <f t="shared" si="12"/>
        <v>[fr]trifft nicht zu</v>
      </c>
      <c r="J239" s="454" t="str">
        <f t="shared" si="13"/>
        <v>[pt]trifft nicht zu</v>
      </c>
      <c r="K239" s="454" t="str">
        <f t="shared" si="14"/>
        <v>[gr]trifft nicht zu</v>
      </c>
    </row>
    <row r="240" spans="3:11" ht="15.75" customHeight="1">
      <c r="D240" s="453" t="str">
        <f t="shared" si="5"/>
        <v xml:space="preserve">Gewichtung geändert. Ursprünglich </v>
      </c>
      <c r="E240" s="469" t="s">
        <v>3189</v>
      </c>
      <c r="F240" s="469" t="s">
        <v>3190</v>
      </c>
      <c r="G240" s="470" t="s">
        <v>3191</v>
      </c>
      <c r="H240" s="469" t="s">
        <v>3192</v>
      </c>
      <c r="I240" s="454" t="str">
        <f t="shared" si="12"/>
        <v xml:space="preserve">[fr]Gewichtung geändert. Ursprünglich </v>
      </c>
      <c r="J240" s="454" t="str">
        <f t="shared" si="13"/>
        <v xml:space="preserve">[pt]Gewichtung geändert. Ursprünglich </v>
      </c>
      <c r="K240" s="454" t="str">
        <f t="shared" si="14"/>
        <v xml:space="preserve">[gr]Gewichtung geändert. Ursprünglich </v>
      </c>
    </row>
    <row r="241" spans="2:11" ht="15.75" customHeight="1">
      <c r="D241" s="453" t="str">
        <f t="shared" si="5"/>
        <v xml:space="preserve">Werte-Stern für </v>
      </c>
      <c r="E241" s="454" t="s">
        <v>1600</v>
      </c>
      <c r="F241" s="454" t="s">
        <v>1601</v>
      </c>
      <c r="G241" s="454" t="s">
        <v>1602</v>
      </c>
      <c r="H241" s="469" t="s">
        <v>1603</v>
      </c>
      <c r="I241" s="454" t="str">
        <f t="shared" si="12"/>
        <v xml:space="preserve">[fr]Werte-Stern für </v>
      </c>
      <c r="J241" s="454" t="str">
        <f t="shared" si="13"/>
        <v xml:space="preserve">[pt]Werte-Stern für </v>
      </c>
      <c r="K241" s="454" t="str">
        <f t="shared" si="14"/>
        <v xml:space="preserve">[gr]Werte-Stern für </v>
      </c>
    </row>
    <row r="242" spans="2:11" ht="15.75" customHeight="1">
      <c r="D242" s="453" t="str">
        <f t="shared" si="5"/>
        <v xml:space="preserve">Gruppen-Stern für </v>
      </c>
      <c r="E242" s="454" t="s">
        <v>1604</v>
      </c>
      <c r="F242" s="454" t="s">
        <v>1605</v>
      </c>
      <c r="G242" s="454" t="s">
        <v>1606</v>
      </c>
      <c r="H242" s="454" t="s">
        <v>1607</v>
      </c>
      <c r="I242" s="454" t="str">
        <f t="shared" si="12"/>
        <v xml:space="preserve">[fr]Gruppen-Stern für </v>
      </c>
      <c r="J242" s="454" t="str">
        <f t="shared" si="13"/>
        <v xml:space="preserve">[pt]Gruppen-Stern für </v>
      </c>
      <c r="K242" s="454" t="str">
        <f t="shared" si="14"/>
        <v xml:space="preserve">[gr]Gruppen-Stern für </v>
      </c>
    </row>
    <row r="243" spans="2:11" ht="15.75" customHeight="1">
      <c r="D243" s="453" t="str">
        <f t="shared" si="5"/>
        <v xml:space="preserve">Themen-Stern für </v>
      </c>
      <c r="E243" s="454" t="s">
        <v>1608</v>
      </c>
      <c r="F243" s="454" t="s">
        <v>1609</v>
      </c>
      <c r="G243" s="454" t="s">
        <v>1610</v>
      </c>
      <c r="H243" s="454" t="s">
        <v>1611</v>
      </c>
      <c r="I243" s="454" t="str">
        <f t="shared" si="12"/>
        <v xml:space="preserve">[fr]Themen-Stern für </v>
      </c>
      <c r="J243" s="454" t="str">
        <f t="shared" si="13"/>
        <v xml:space="preserve">[pt]Themen-Stern für </v>
      </c>
      <c r="K243" s="454" t="str">
        <f t="shared" si="14"/>
        <v xml:space="preserve">[gr]Themen-Stern für </v>
      </c>
    </row>
    <row r="244" spans="2:11" ht="357.6" customHeight="1">
      <c r="B244" s="505" t="str">
        <f>D208</f>
        <v>Allgemein</v>
      </c>
      <c r="D244" s="453" t="str">
        <f t="shared" si="5"/>
        <v>Die für alle Unternehmen gleiche und starre Punkteverteilung in der Matrix hat in den vergangenen Jahren innerhalb des Matrix-Entwicklungs-Team (MET) für viele Diskussionen gesorgt. Auch von außerhalb sind viele Fragen und kritische Rückmeldungen an uns herangetragen worden. Bislang war die Punkteverteilung auf die Themen mit Ausnahme von Ein-Personen-Unternehmen für alle Unternehmen gleich - unabhängig von der Unternehmensgröße, Branche und anderen Rahmenbedingungen (regionaler Hintergrund, B2B versus B2C, etc.). Relevanz und WirkungImpact auf das Gemeinwohl sind jedoch von diesen Determinanten nicht unabhängig. Beispielsweise ist die Lieferkette eines Elektronik-Handelsunternehmen (A1-A4) weitaus bedeutender als für ein Bergbauunternehmen, welches wiederum u.a. sehr große Effekte bei seinen direkten ökologischen Auswirkungen hat (E3). Das neue Gewichtungsmodell soll diesen Gedanken Rechnung tragen und die wesentlichen Faktoren stärker akzentuieren. Im Prozess wurden Meinungen der Bewegung im Rahmen einer Umfrage eingeholt und eine klare Präferenz für eine neue Herangehensweise rückgemeldet.</v>
      </c>
      <c r="E244" s="506" t="s">
        <v>1612</v>
      </c>
      <c r="F244" s="454" t="s">
        <v>1613</v>
      </c>
      <c r="G244" s="460" t="s">
        <v>1614</v>
      </c>
      <c r="H244" s="454" t="s">
        <v>1615</v>
      </c>
      <c r="I244" s="454" t="str">
        <f t="shared" si="12"/>
        <v>[fr]Die für alle Unternehmen gleiche und starre Punkteverteilung in der Matrix hat in den vergangenen Jahren innerhalb des Matrix-Entwicklungs-Team (MET) für viele Diskussionen gesorgt. Auch von außerhalb sind viele Fragen und kritische Rückmeldungen an uns herangetragen worden. Bislang war die Punkteverteilung auf die Themen mit Ausnahme von Ein-Personen-Unternehmen für alle Unternehmen gleich - unabhängig von der Unternehmensgröße, Branche und anderen Rahmenbedingungen (regionaler Hintergrund, B2B versus B2C, etc.). Relevanz und WirkungImpact auf das Gemeinwohl sind jedoch von diesen Determinanten nicht unabhängig. Beispielsweise ist die Lieferkette eines Elektronik-Handelsunternehmen (A1-A4) weitaus bedeutender als für ein Bergbauunternehmen, welches wiederum u.a. sehr große Effekte bei seinen direkten ökologischen Auswirkungen hat (E3). Das neue Gewichtungsmodell soll diesen Gedanken Rechnung tragen und die wesentlichen Faktoren stärker akzentuieren. Im Prozess wurden Meinungen der Bewegung im Rahmen einer Umfrage eingeholt und eine klare Präferenz für eine neue Herangehensweise rückgemeldet.</v>
      </c>
      <c r="J244" s="454" t="str">
        <f t="shared" si="13"/>
        <v>[pt]Die für alle Unternehmen gleiche und starre Punkteverteilung in der Matrix hat in den vergangenen Jahren innerhalb des Matrix-Entwicklungs-Team (MET) für viele Diskussionen gesorgt. Auch von außerhalb sind viele Fragen und kritische Rückmeldungen an uns herangetragen worden. Bislang war die Punkteverteilung auf die Themen mit Ausnahme von Ein-Personen-Unternehmen für alle Unternehmen gleich - unabhängig von der Unternehmensgröße, Branche und anderen Rahmenbedingungen (regionaler Hintergrund, B2B versus B2C, etc.). Relevanz und WirkungImpact auf das Gemeinwohl sind jedoch von diesen Determinanten nicht unabhängig. Beispielsweise ist die Lieferkette eines Elektronik-Handelsunternehmen (A1-A4) weitaus bedeutender als für ein Bergbauunternehmen, welches wiederum u.a. sehr große Effekte bei seinen direkten ökologischen Auswirkungen hat (E3). Das neue Gewichtungsmodell soll diesen Gedanken Rechnung tragen und die wesentlichen Faktoren stärker akzentuieren. Im Prozess wurden Meinungen der Bewegung im Rahmen einer Umfrage eingeholt und eine klare Präferenz für eine neue Herangehensweise rückgemeldet.</v>
      </c>
      <c r="K244" s="454" t="str">
        <f t="shared" si="14"/>
        <v>[gr]Die für alle Unternehmen gleiche und starre Punkteverteilung in der Matrix hat in den vergangenen Jahren innerhalb des Matrix-Entwicklungs-Team (MET) für viele Diskussionen gesorgt. Auch von außerhalb sind viele Fragen und kritische Rückmeldungen an uns herangetragen worden. Bislang war die Punkteverteilung auf die Themen mit Ausnahme von Ein-Personen-Unternehmen für alle Unternehmen gleich - unabhängig von der Unternehmensgröße, Branche und anderen Rahmenbedingungen (regionaler Hintergrund, B2B versus B2C, etc.). Relevanz und WirkungImpact auf das Gemeinwohl sind jedoch von diesen Determinanten nicht unabhängig. Beispielsweise ist die Lieferkette eines Elektronik-Handelsunternehmen (A1-A4) weitaus bedeutender als für ein Bergbauunternehmen, welches wiederum u.a. sehr große Effekte bei seinen direkten ökologischen Auswirkungen hat (E3). Das neue Gewichtungsmodell soll diesen Gedanken Rechnung tragen und die wesentlichen Faktoren stärker akzentuieren. Im Prozess wurden Meinungen der Bewegung im Rahmen einer Umfrage eingeholt und eine klare Präferenz für eine neue Herangehensweise rückgemeldet.</v>
      </c>
    </row>
    <row r="245" spans="2:11" ht="227.85" customHeight="1">
      <c r="B245" s="505" t="s">
        <v>1486</v>
      </c>
      <c r="D245" s="453" t="str">
        <f t="shared" si="5"/>
        <v xml:space="preserve">Bei der Gewichtung der 3 Berührungsgruppen A) LieferantInnen, B) InvestorenInnen und C) MitarbeiterInnen werden die Finanzströme zu diesen Berührungsgruppen zur Gewichtung herangezogen: A) Beschaffungsausgaben, B) Gewinn und Finanzierungskosten C) Löhne und Gehälter. Wir sind uns der limitierten Aussagekraft monetärer Größen bewusst und haben auch Ideen, wie dies in Zukunft verbessert werden kann. Gleichzeitig sind diese Zahlen in der  Finanzbilanzen der Unternehmen vorhanden, somit leicht verfügbar und kommen dem Bedürfnis vieler Unternehmen nach Einfachheit nach. Da in den Beschaffungskosten Steuern und Finanzierungskosten entahlten fliessen diese nur zu 50% in die Gewichtung ein. </v>
      </c>
      <c r="E245" s="506" t="s">
        <v>1616</v>
      </c>
      <c r="F245" s="454" t="s">
        <v>1617</v>
      </c>
      <c r="G245" s="460" t="s">
        <v>1618</v>
      </c>
      <c r="H245" s="454" t="s">
        <v>1619</v>
      </c>
      <c r="I245" s="454" t="str">
        <f t="shared" si="12"/>
        <v xml:space="preserve">[fr]Bei der Gewichtung der 3 Berührungsgruppen A) LieferantInnen, B) InvestorenInnen und C) MitarbeiterInnen werden die Finanzströme zu diesen Berührungsgruppen zur Gewichtung herangezogen: A) Beschaffungsausgaben, B) Gewinn und Finanzierungskosten C) Löhne und Gehälter. Wir sind uns der limitierten Aussagekraft monetärer Größen bewusst und haben auch Ideen, wie dies in Zukunft verbessert werden kann. Gleichzeitig sind diese Zahlen in der  Finanzbilanzen der Unternehmen vorhanden, somit leicht verfügbar und kommen dem Bedürfnis vieler Unternehmen nach Einfachheit nach. Da in den Beschaffungskosten Steuern und Finanzierungskosten entahlten fliessen diese nur zu 50% in die Gewichtung ein. </v>
      </c>
      <c r="J245" s="454" t="str">
        <f t="shared" si="13"/>
        <v xml:space="preserve">[pt]Bei der Gewichtung der 3 Berührungsgruppen A) LieferantInnen, B) InvestorenInnen und C) MitarbeiterInnen werden die Finanzströme zu diesen Berührungsgruppen zur Gewichtung herangezogen: A) Beschaffungsausgaben, B) Gewinn und Finanzierungskosten C) Löhne und Gehälter. Wir sind uns der limitierten Aussagekraft monetärer Größen bewusst und haben auch Ideen, wie dies in Zukunft verbessert werden kann. Gleichzeitig sind diese Zahlen in der  Finanzbilanzen der Unternehmen vorhanden, somit leicht verfügbar und kommen dem Bedürfnis vieler Unternehmen nach Einfachheit nach. Da in den Beschaffungskosten Steuern und Finanzierungskosten entahlten fliessen diese nur zu 50% in die Gewichtung ein. </v>
      </c>
      <c r="K245" s="454" t="str">
        <f t="shared" si="14"/>
        <v xml:space="preserve">[gr]Bei der Gewichtung der 3 Berührungsgruppen A) LieferantInnen, B) InvestorenInnen und C) MitarbeiterInnen werden die Finanzströme zu diesen Berührungsgruppen zur Gewichtung herangezogen: A) Beschaffungsausgaben, B) Gewinn und Finanzierungskosten C) Löhne und Gehälter. Wir sind uns der limitierten Aussagekraft monetärer Größen bewusst und haben auch Ideen, wie dies in Zukunft verbessert werden kann. Gleichzeitig sind diese Zahlen in der  Finanzbilanzen der Unternehmen vorhanden, somit leicht verfügbar und kommen dem Bedürfnis vieler Unternehmen nach Einfachheit nach. Da in den Beschaffungskosten Steuern und Finanzierungskosten entahlten fliessen diese nur zu 50% in die Gewichtung ein. </v>
      </c>
    </row>
    <row r="246" spans="2:11" ht="161.25" customHeight="1">
      <c r="B246" s="507" t="s">
        <v>1478</v>
      </c>
      <c r="D246" s="453" t="str">
        <f t="shared" si="5"/>
        <v>Auf Ebene der Themen gibt es ebenfalls Kriterien die zur Gewichtung herangezogen werden, beispielsweise Größe oder Branche eines Unternehmen oder Arbeitsrechtslage von Ländern. Für die Branchendefinition wenden wir den International Standard Industrial Classification of All Economic Activities (ISIC Rev.4) der Vereinten Nationen an. Für die Größeneinstufung wird die EU Definition herangezogen. Die nachstehende Tabelle fasst gegenwärtige Gewichtungsfaktoren zusammen (Stand Mai 2017).</v>
      </c>
      <c r="E246" s="508" t="s">
        <v>1620</v>
      </c>
      <c r="F246" s="454" t="s">
        <v>1621</v>
      </c>
      <c r="G246" s="460" t="s">
        <v>1622</v>
      </c>
      <c r="H246" s="454" t="s">
        <v>1623</v>
      </c>
      <c r="I246" s="454" t="str">
        <f t="shared" si="12"/>
        <v>[fr]Auf Ebene der Themen gibt es ebenfalls Kriterien die zur Gewichtung herangezogen werden, beispielsweise Größe oder Branche eines Unternehmen oder Arbeitsrechtslage von Ländern. Für die Branchendefinition wenden wir den International Standard Industrial Classification of All Economic Activities (ISIC Rev.4) der Vereinten Nationen an. Für die Größeneinstufung wird die EU Definition herangezogen. Die nachstehende Tabelle fasst gegenwärtige Gewichtungsfaktoren zusammen (Stand Mai 2017).</v>
      </c>
      <c r="J246" s="454" t="str">
        <f t="shared" si="13"/>
        <v>[pt]Auf Ebene der Themen gibt es ebenfalls Kriterien die zur Gewichtung herangezogen werden, beispielsweise Größe oder Branche eines Unternehmen oder Arbeitsrechtslage von Ländern. Für die Branchendefinition wenden wir den International Standard Industrial Classification of All Economic Activities (ISIC Rev.4) der Vereinten Nationen an. Für die Größeneinstufung wird die EU Definition herangezogen. Die nachstehende Tabelle fasst gegenwärtige Gewichtungsfaktoren zusammen (Stand Mai 2017).</v>
      </c>
      <c r="K246" s="454" t="str">
        <f t="shared" si="14"/>
        <v>[gr]Auf Ebene der Themen gibt es ebenfalls Kriterien die zur Gewichtung herangezogen werden, beispielsweise Größe oder Branche eines Unternehmen oder Arbeitsrechtslage von Ländern. Für die Branchendefinition wenden wir den International Standard Industrial Classification of All Economic Activities (ISIC Rev.4) der Vereinten Nationen an. Für die Größeneinstufung wird die EU Definition herangezogen. Die nachstehende Tabelle fasst gegenwärtige Gewichtungsfaktoren zusammen (Stand Mai 2017).</v>
      </c>
    </row>
    <row r="247" spans="2:11" ht="28.5" customHeight="1">
      <c r="B247" s="509" t="s">
        <v>14</v>
      </c>
      <c r="D247" s="453" t="str">
        <f t="shared" si="5"/>
        <v>Die Gewichtung dieses Thema’s ist abhängig von den sozialen Risiken der Zulieferbranchen</v>
      </c>
      <c r="E247" s="510" t="s">
        <v>1624</v>
      </c>
      <c r="F247" s="454" t="s">
        <v>1625</v>
      </c>
      <c r="G247" s="460" t="s">
        <v>1626</v>
      </c>
      <c r="H247" s="454" t="s">
        <v>1627</v>
      </c>
      <c r="I247" s="454" t="str">
        <f t="shared" si="12"/>
        <v>[fr]Die Gewichtung dieses Thema’s ist abhängig von den sozialen Risiken der Zulieferbranchen</v>
      </c>
      <c r="J247" s="454" t="str">
        <f t="shared" si="13"/>
        <v>[pt]Die Gewichtung dieses Thema’s ist abhängig von den sozialen Risiken der Zulieferbranchen</v>
      </c>
      <c r="K247" s="454" t="str">
        <f t="shared" si="14"/>
        <v>[gr]Die Gewichtung dieses Thema’s ist abhängig von den sozialen Risiken der Zulieferbranchen</v>
      </c>
    </row>
    <row r="248" spans="2:11" ht="15.75" customHeight="1">
      <c r="B248" s="511" t="s">
        <v>17</v>
      </c>
      <c r="D248" s="453" t="str">
        <f t="shared" si="5"/>
        <v>-</v>
      </c>
      <c r="E248" s="512" t="s">
        <v>154</v>
      </c>
      <c r="F248" s="513" t="s">
        <v>154</v>
      </c>
      <c r="G248" s="513" t="s">
        <v>154</v>
      </c>
      <c r="H248" s="454" t="s">
        <v>154</v>
      </c>
      <c r="I248" s="454" t="str">
        <f t="shared" si="12"/>
        <v>[fr]-</v>
      </c>
      <c r="J248" s="454" t="str">
        <f t="shared" si="13"/>
        <v>[pt]-</v>
      </c>
      <c r="K248" s="454" t="str">
        <f t="shared" si="14"/>
        <v>[gr]-</v>
      </c>
    </row>
    <row r="249" spans="2:11" ht="54.75" customHeight="1">
      <c r="B249" s="514" t="s">
        <v>21</v>
      </c>
      <c r="D249" s="453" t="str">
        <f t="shared" si="5"/>
        <v>Die Gewichtung dieses Thema’s ist abhängig vom ökologischen Effekt der Branche des Lieferanten (siehe Tabellenblatt “Industry”)</v>
      </c>
      <c r="E249" s="512" t="s">
        <v>1628</v>
      </c>
      <c r="F249" s="454" t="s">
        <v>1629</v>
      </c>
      <c r="G249" s="460" t="s">
        <v>1630</v>
      </c>
      <c r="H249" s="454" t="s">
        <v>1631</v>
      </c>
      <c r="I249" s="454" t="str">
        <f t="shared" si="12"/>
        <v>[fr]Die Gewichtung dieses Thema’s ist abhängig vom ökologischen Effekt der Branche des Lieferanten (siehe Tabellenblatt “Industry”)</v>
      </c>
      <c r="J249" s="454" t="str">
        <f t="shared" si="13"/>
        <v>[pt]Die Gewichtung dieses Thema’s ist abhängig vom ökologischen Effekt der Branche des Lieferanten (siehe Tabellenblatt “Industry”)</v>
      </c>
      <c r="K249" s="454" t="str">
        <f t="shared" si="14"/>
        <v>[gr]Die Gewichtung dieses Thema’s ist abhängig vom ökologischen Effekt der Branche des Lieferanten (siehe Tabellenblatt “Industry”)</v>
      </c>
    </row>
    <row r="250" spans="2:11" ht="68.25" customHeight="1">
      <c r="B250" s="514" t="s">
        <v>24</v>
      </c>
      <c r="D250" s="453" t="str">
        <f t="shared" si="5"/>
        <v>Die Gewichtung dieses Thema’s ist abhängig von den Mitbestimmungsrechte in den Ländern der wichtigsten Zulieferbranchen (basierend auf dem ITUC-Index der International Trade Union Confederation)</v>
      </c>
      <c r="E250" s="515" t="s">
        <v>1632</v>
      </c>
      <c r="F250" s="454" t="s">
        <v>1633</v>
      </c>
      <c r="G250" s="460" t="s">
        <v>1634</v>
      </c>
      <c r="H250" s="454" t="s">
        <v>1635</v>
      </c>
      <c r="I250" s="454" t="str">
        <f t="shared" si="12"/>
        <v>[fr]Die Gewichtung dieses Thema’s ist abhängig von den Mitbestimmungsrechte in den Ländern der wichtigsten Zulieferbranchen (basierend auf dem ITUC-Index der International Trade Union Confederation)</v>
      </c>
      <c r="J250" s="454" t="str">
        <f t="shared" si="13"/>
        <v>[pt]Die Gewichtung dieses Thema’s ist abhängig von den Mitbestimmungsrechte in den Ländern der wichtigsten Zulieferbranchen (basierend auf dem ITUC-Index der International Trade Union Confederation)</v>
      </c>
      <c r="K250" s="454" t="str">
        <f t="shared" si="14"/>
        <v>[gr]Die Gewichtung dieses Thema’s ist abhängig von den Mitbestimmungsrechte in den Ländern der wichtigsten Zulieferbranchen (basierend auf dem ITUC-Index der International Trade Union Confederation)</v>
      </c>
    </row>
    <row r="251" spans="2:11" ht="28.5" customHeight="1">
      <c r="B251" s="514" t="s">
        <v>28</v>
      </c>
      <c r="D251" s="453" t="str">
        <f t="shared" si="5"/>
        <v>Die Gewichtung dieses Thema’s ist abhängig von der Relation Umsatz zu Bilanzsumme</v>
      </c>
      <c r="E251" s="512" t="s">
        <v>1636</v>
      </c>
      <c r="F251" s="454" t="s">
        <v>1637</v>
      </c>
      <c r="G251" s="460" t="s">
        <v>1638</v>
      </c>
      <c r="H251" s="454" t="s">
        <v>1639</v>
      </c>
      <c r="I251" s="454" t="str">
        <f t="shared" si="12"/>
        <v>[fr]Die Gewichtung dieses Thema’s ist abhängig von der Relation Umsatz zu Bilanzsumme</v>
      </c>
      <c r="J251" s="454" t="str">
        <f t="shared" si="13"/>
        <v>[pt]Die Gewichtung dieses Thema’s ist abhängig von der Relation Umsatz zu Bilanzsumme</v>
      </c>
      <c r="K251" s="454" t="str">
        <f t="shared" si="14"/>
        <v>[gr]Die Gewichtung dieses Thema’s ist abhängig von der Relation Umsatz zu Bilanzsumme</v>
      </c>
    </row>
    <row r="252" spans="2:11" ht="42.75" customHeight="1">
      <c r="B252" s="514" t="s">
        <v>32</v>
      </c>
      <c r="D252" s="453" t="str">
        <f t="shared" si="5"/>
        <v xml:space="preserve">Die Gewichtung dieses Thema’s ist abhängig von der Relation Gewinn zu Umsatz </v>
      </c>
      <c r="E252" s="512" t="s">
        <v>1640</v>
      </c>
      <c r="F252" s="454" t="s">
        <v>1641</v>
      </c>
      <c r="G252" s="460" t="s">
        <v>1642</v>
      </c>
      <c r="H252" s="454" t="s">
        <v>1643</v>
      </c>
      <c r="I252" s="454" t="str">
        <f t="shared" si="12"/>
        <v xml:space="preserve">[fr]Die Gewichtung dieses Thema’s ist abhängig von der Relation Gewinn zu Umsatz </v>
      </c>
      <c r="J252" s="454" t="str">
        <f t="shared" si="13"/>
        <v xml:space="preserve">[pt]Die Gewichtung dieses Thema’s ist abhängig von der Relation Gewinn zu Umsatz </v>
      </c>
      <c r="K252" s="454" t="str">
        <f t="shared" si="14"/>
        <v xml:space="preserve">[gr]Die Gewichtung dieses Thema’s ist abhängig von der Relation Gewinn zu Umsatz </v>
      </c>
    </row>
    <row r="253" spans="2:11" ht="51" customHeight="1">
      <c r="B253" s="514" t="s">
        <v>35</v>
      </c>
      <c r="D253" s="453" t="str">
        <f t="shared" si="5"/>
        <v>Die Gewichtung dieses Thema’s ist abhängig  Zugängen zum Anlagevermögen und Finanzvermögen in Relation zu der Bilanzsumme</v>
      </c>
      <c r="E253" s="512" t="s">
        <v>1644</v>
      </c>
      <c r="F253" s="454" t="s">
        <v>1645</v>
      </c>
      <c r="G253" s="460" t="s">
        <v>1646</v>
      </c>
      <c r="H253" s="454" t="s">
        <v>1647</v>
      </c>
      <c r="I253" s="454" t="str">
        <f t="shared" si="12"/>
        <v>[fr]Die Gewichtung dieses Thema’s ist abhängig  Zugängen zum Anlagevermögen und Finanzvermögen in Relation zu der Bilanzsumme</v>
      </c>
      <c r="J253" s="454" t="str">
        <f t="shared" si="13"/>
        <v>[pt]Die Gewichtung dieses Thema’s ist abhängig  Zugängen zum Anlagevermögen und Finanzvermögen in Relation zu der Bilanzsumme</v>
      </c>
      <c r="K253" s="454" t="str">
        <f t="shared" si="14"/>
        <v>[gr]Die Gewichtung dieses Thema’s ist abhängig  Zugängen zum Anlagevermögen und Finanzvermögen in Relation zu der Bilanzsumme</v>
      </c>
    </row>
    <row r="254" spans="2:11" ht="28.5" customHeight="1">
      <c r="B254" s="514" t="s">
        <v>39</v>
      </c>
      <c r="D254" s="453" t="str">
        <f t="shared" si="5"/>
        <v>Die Gewichtung dieses Thema’s ist abhängig von der Größe des Unternehmens</v>
      </c>
      <c r="E254" s="512" t="s">
        <v>1648</v>
      </c>
      <c r="F254" s="454" t="s">
        <v>1649</v>
      </c>
      <c r="G254" s="460" t="s">
        <v>1650</v>
      </c>
      <c r="H254" s="454" t="s">
        <v>1651</v>
      </c>
      <c r="I254" s="454" t="str">
        <f t="shared" si="12"/>
        <v>[fr]Die Gewichtung dieses Thema’s ist abhängig von der Größe des Unternehmens</v>
      </c>
      <c r="J254" s="454" t="str">
        <f t="shared" si="13"/>
        <v>[pt]Die Gewichtung dieses Thema’s ist abhängig von der Größe des Unternehmens</v>
      </c>
      <c r="K254" s="454" t="str">
        <f t="shared" si="14"/>
        <v>[gr]Die Gewichtung dieses Thema’s ist abhängig von der Größe des Unternehmens</v>
      </c>
    </row>
    <row r="255" spans="2:11" ht="15.75" customHeight="1">
      <c r="B255" s="514" t="s">
        <v>43</v>
      </c>
      <c r="D255" s="453" t="str">
        <f t="shared" si="5"/>
        <v>-</v>
      </c>
      <c r="E255" s="516" t="s">
        <v>154</v>
      </c>
      <c r="F255" s="517" t="s">
        <v>154</v>
      </c>
      <c r="G255" s="517" t="s">
        <v>154</v>
      </c>
      <c r="H255" s="454" t="s">
        <v>154</v>
      </c>
      <c r="I255" s="454" t="str">
        <f t="shared" si="12"/>
        <v>[fr]-</v>
      </c>
      <c r="J255" s="454" t="str">
        <f t="shared" si="13"/>
        <v>[pt]-</v>
      </c>
      <c r="K255" s="454" t="str">
        <f t="shared" si="14"/>
        <v>[gr]-</v>
      </c>
    </row>
    <row r="256" spans="2:11" ht="15.75" customHeight="1">
      <c r="B256" s="514" t="s">
        <v>48</v>
      </c>
      <c r="D256" s="453" t="str">
        <f t="shared" si="5"/>
        <v>-</v>
      </c>
      <c r="E256" s="512" t="s">
        <v>154</v>
      </c>
      <c r="F256" s="513" t="s">
        <v>154</v>
      </c>
      <c r="G256" s="513" t="s">
        <v>154</v>
      </c>
      <c r="H256" s="454" t="s">
        <v>154</v>
      </c>
      <c r="I256" s="454" t="str">
        <f t="shared" si="12"/>
        <v>[fr]-</v>
      </c>
      <c r="J256" s="454" t="str">
        <f t="shared" si="13"/>
        <v>[pt]-</v>
      </c>
      <c r="K256" s="454" t="str">
        <f t="shared" si="14"/>
        <v>[gr]-</v>
      </c>
    </row>
    <row r="257" spans="2:11" ht="54.75" customHeight="1">
      <c r="B257" s="514" t="s">
        <v>53</v>
      </c>
      <c r="D257" s="453" t="str">
        <f t="shared" si="5"/>
        <v>Die Gewichtung dieses Thema’s ist abhängig von der Existenz einer Kantine für die Mehrheit der Mitarbeiter*innen sowie dem (geschätzten) durchschnittlichen Anfahrtsweg zur Arbeit.</v>
      </c>
      <c r="E257" s="512" t="s">
        <v>1652</v>
      </c>
      <c r="F257" s="454" t="s">
        <v>1653</v>
      </c>
      <c r="G257" s="460" t="s">
        <v>1654</v>
      </c>
      <c r="H257" s="454" t="s">
        <v>1655</v>
      </c>
      <c r="I257" s="454" t="str">
        <f t="shared" si="12"/>
        <v>[fr]Die Gewichtung dieses Thema’s ist abhängig von der Existenz einer Kantine für die Mehrheit der Mitarbeiter*innen sowie dem (geschätzten) durchschnittlichen Anfahrtsweg zur Arbeit.</v>
      </c>
      <c r="J257" s="454" t="str">
        <f t="shared" si="13"/>
        <v>[pt]Die Gewichtung dieses Thema’s ist abhängig von der Existenz einer Kantine für die Mehrheit der Mitarbeiter*innen sowie dem (geschätzten) durchschnittlichen Anfahrtsweg zur Arbeit.</v>
      </c>
      <c r="K257" s="454" t="str">
        <f t="shared" si="14"/>
        <v>[gr]Die Gewichtung dieses Thema’s ist abhängig von der Existenz einer Kantine für die Mehrheit der Mitarbeiter*innen sowie dem (geschätzten) durchschnittlichen Anfahrtsweg zur Arbeit.</v>
      </c>
    </row>
    <row r="258" spans="2:11" ht="81.599999999999994" customHeight="1">
      <c r="B258" s="514" t="s">
        <v>58</v>
      </c>
      <c r="D258" s="453" t="str">
        <f t="shared" si="5"/>
        <v>Die Gewichtung dieses Thema’s ist abhängig von der Größe des Unternehmens sowie von den Mitbestimmungsrechte in den Ländern der wichtigsten Standorte (basierend auf dem ITUC-Index der International Labour Union)</v>
      </c>
      <c r="E258" s="515" t="s">
        <v>1656</v>
      </c>
      <c r="F258" s="454" t="s">
        <v>1657</v>
      </c>
      <c r="G258" s="460" t="s">
        <v>1658</v>
      </c>
      <c r="H258" s="454" t="s">
        <v>1659</v>
      </c>
      <c r="I258" s="454" t="str">
        <f t="shared" si="12"/>
        <v>[fr]Die Gewichtung dieses Thema’s ist abhängig von der Größe des Unternehmens sowie von den Mitbestimmungsrechte in den Ländern der wichtigsten Standorte (basierend auf dem ITUC-Index der International Labour Union)</v>
      </c>
      <c r="J258" s="454" t="str">
        <f t="shared" si="13"/>
        <v>[pt]Die Gewichtung dieses Thema’s ist abhängig von der Größe des Unternehmens sowie von den Mitbestimmungsrechte in den Ländern der wichtigsten Standorte (basierend auf dem ITUC-Index der International Labour Union)</v>
      </c>
      <c r="K258" s="454" t="str">
        <f t="shared" si="14"/>
        <v>[gr]Die Gewichtung dieses Thema’s ist abhängig von der Größe des Unternehmens sowie von den Mitbestimmungsrechte in den Ländern der wichtigsten Standorte (basierend auf dem ITUC-Index der International Labour Union)</v>
      </c>
    </row>
    <row r="259" spans="2:11" ht="15.75" customHeight="1">
      <c r="B259" s="514" t="s">
        <v>64</v>
      </c>
      <c r="D259" s="453" t="str">
        <f t="shared" si="5"/>
        <v>-</v>
      </c>
      <c r="E259" s="512" t="s">
        <v>154</v>
      </c>
      <c r="F259" s="512" t="s">
        <v>154</v>
      </c>
      <c r="G259" s="512" t="s">
        <v>154</v>
      </c>
      <c r="H259" s="454" t="s">
        <v>154</v>
      </c>
      <c r="I259" s="454" t="str">
        <f t="shared" si="12"/>
        <v>[fr]-</v>
      </c>
      <c r="J259" s="454" t="str">
        <f t="shared" si="13"/>
        <v>[pt]-</v>
      </c>
      <c r="K259" s="454" t="str">
        <f t="shared" si="14"/>
        <v>[gr]-</v>
      </c>
    </row>
    <row r="260" spans="2:11" ht="15.75" customHeight="1">
      <c r="B260" s="514" t="s">
        <v>68</v>
      </c>
      <c r="D260" s="453" t="str">
        <f t="shared" si="5"/>
        <v>-</v>
      </c>
      <c r="E260" s="512" t="s">
        <v>154</v>
      </c>
      <c r="F260" s="513" t="s">
        <v>154</v>
      </c>
      <c r="G260" s="513" t="s">
        <v>154</v>
      </c>
      <c r="H260" s="454" t="s">
        <v>154</v>
      </c>
      <c r="I260" s="454" t="str">
        <f t="shared" si="12"/>
        <v>[fr]-</v>
      </c>
      <c r="J260" s="454" t="str">
        <f t="shared" si="13"/>
        <v>[pt]-</v>
      </c>
      <c r="K260" s="454" t="str">
        <f t="shared" si="14"/>
        <v>[gr]-</v>
      </c>
    </row>
    <row r="261" spans="2:11" ht="28.5" customHeight="1">
      <c r="B261" s="514" t="s">
        <v>72</v>
      </c>
      <c r="D261" s="453" t="str">
        <f t="shared" si="5"/>
        <v xml:space="preserve">Die Gewichtung dieses Thema’s ist abhängig von der Branche </v>
      </c>
      <c r="E261" s="512" t="s">
        <v>1660</v>
      </c>
      <c r="F261" s="454" t="s">
        <v>1661</v>
      </c>
      <c r="G261" s="460" t="s">
        <v>1662</v>
      </c>
      <c r="H261" s="454" t="s">
        <v>1663</v>
      </c>
      <c r="I261" s="454" t="str">
        <f t="shared" si="12"/>
        <v xml:space="preserve">[fr]Die Gewichtung dieses Thema’s ist abhängig von der Branche </v>
      </c>
      <c r="J261" s="454" t="str">
        <f t="shared" si="13"/>
        <v xml:space="preserve">[pt]Die Gewichtung dieses Thema’s ist abhängig von der Branche </v>
      </c>
      <c r="K261" s="454" t="str">
        <f t="shared" si="14"/>
        <v xml:space="preserve">[gr]Die Gewichtung dieses Thema’s ist abhängig von der Branche </v>
      </c>
    </row>
    <row r="262" spans="2:11" ht="41.85" customHeight="1">
      <c r="B262" s="514" t="s">
        <v>76</v>
      </c>
      <c r="D262" s="453" t="str">
        <f t="shared" si="5"/>
        <v>Die Gewichtung dieses Thema’s ist abhängig davon, ob Kund*innen in erster Linie Private oder Unternehmen sind</v>
      </c>
      <c r="E262" s="512" t="s">
        <v>1664</v>
      </c>
      <c r="F262" s="454" t="s">
        <v>1665</v>
      </c>
      <c r="G262" s="460" t="s">
        <v>1666</v>
      </c>
      <c r="H262" s="454" t="s">
        <v>1667</v>
      </c>
      <c r="I262" s="454" t="str">
        <f t="shared" si="12"/>
        <v>[fr]Die Gewichtung dieses Thema’s ist abhängig davon, ob Kund*innen in erster Linie Private oder Unternehmen sind</v>
      </c>
      <c r="J262" s="454" t="str">
        <f t="shared" si="13"/>
        <v>[pt]Die Gewichtung dieses Thema’s ist abhängig davon, ob Kund*innen in erster Linie Private oder Unternehmen sind</v>
      </c>
      <c r="K262" s="454" t="str">
        <f t="shared" si="14"/>
        <v>[gr]Die Gewichtung dieses Thema’s ist abhängig davon, ob Kund*innen in erster Linie Private oder Unternehmen sind</v>
      </c>
    </row>
    <row r="263" spans="2:11" ht="15.75" customHeight="1">
      <c r="B263" s="514" t="s">
        <v>80</v>
      </c>
      <c r="D263" s="453" t="str">
        <f t="shared" si="5"/>
        <v>-</v>
      </c>
      <c r="E263" s="512" t="s">
        <v>154</v>
      </c>
      <c r="F263" s="513" t="s">
        <v>154</v>
      </c>
      <c r="G263" s="513" t="s">
        <v>154</v>
      </c>
      <c r="H263" s="454" t="s">
        <v>154</v>
      </c>
      <c r="I263" s="454" t="str">
        <f t="shared" si="12"/>
        <v>[fr]-</v>
      </c>
      <c r="J263" s="454" t="str">
        <f t="shared" si="13"/>
        <v>[pt]-</v>
      </c>
      <c r="K263" s="454" t="str">
        <f t="shared" si="14"/>
        <v>[gr]-</v>
      </c>
    </row>
    <row r="264" spans="2:11" ht="41.85" customHeight="1">
      <c r="B264" s="514" t="s">
        <v>84</v>
      </c>
      <c r="D264" s="453" t="str">
        <f t="shared" si="5"/>
        <v>Die Gewichtung dieses Thema’s ist abhängig von der Umsatzrentabilität (Gewinn/Umsatz)</v>
      </c>
      <c r="E264" s="512" t="s">
        <v>1668</v>
      </c>
      <c r="F264" s="454" t="s">
        <v>1669</v>
      </c>
      <c r="G264" s="460" t="s">
        <v>1670</v>
      </c>
      <c r="H264" s="454" t="s">
        <v>1671</v>
      </c>
      <c r="I264" s="454" t="str">
        <f t="shared" si="12"/>
        <v>[fr]Die Gewichtung dieses Thema’s ist abhängig von der Umsatzrentabilität (Gewinn/Umsatz)</v>
      </c>
      <c r="J264" s="454" t="str">
        <f t="shared" si="13"/>
        <v>[pt]Die Gewichtung dieses Thema’s ist abhängig von der Umsatzrentabilität (Gewinn/Umsatz)</v>
      </c>
      <c r="K264" s="454" t="str">
        <f t="shared" si="14"/>
        <v>[gr]Die Gewichtung dieses Thema’s ist abhängig von der Umsatzrentabilität (Gewinn/Umsatz)</v>
      </c>
    </row>
    <row r="265" spans="2:11" ht="28.5" customHeight="1">
      <c r="B265" s="514" t="s">
        <v>89</v>
      </c>
      <c r="D265" s="453" t="str">
        <f t="shared" si="5"/>
        <v>Die Gewichtung dieses Thenma’s ist abhängig von der Branche</v>
      </c>
      <c r="E265" s="512" t="s">
        <v>1672</v>
      </c>
      <c r="F265" s="454" t="s">
        <v>1661</v>
      </c>
      <c r="G265" s="460" t="s">
        <v>1662</v>
      </c>
      <c r="H265" s="454" t="s">
        <v>1663</v>
      </c>
      <c r="I265" s="454" t="str">
        <f t="shared" si="12"/>
        <v>[fr]Die Gewichtung dieses Thenma’s ist abhängig von der Branche</v>
      </c>
      <c r="J265" s="454" t="str">
        <f t="shared" si="13"/>
        <v>[pt]Die Gewichtung dieses Thenma’s ist abhängig von der Branche</v>
      </c>
      <c r="K265" s="454" t="str">
        <f t="shared" si="14"/>
        <v>[gr]Die Gewichtung dieses Thenma’s ist abhängig von der Branche</v>
      </c>
    </row>
    <row r="266" spans="2:11" ht="41.85" customHeight="1">
      <c r="B266" s="518" t="s">
        <v>93</v>
      </c>
      <c r="D266" s="453" t="str">
        <f t="shared" si="5"/>
        <v>Die Gewichtung dieses Thema’s ist abhängig von der Größe sowie der Branche des Unternehmens.</v>
      </c>
      <c r="E266" s="519" t="s">
        <v>1673</v>
      </c>
      <c r="F266" s="454" t="s">
        <v>1674</v>
      </c>
      <c r="G266" s="460" t="s">
        <v>1675</v>
      </c>
      <c r="H266" s="454" t="s">
        <v>1676</v>
      </c>
      <c r="I266" s="454" t="str">
        <f t="shared" si="12"/>
        <v>[fr]Die Gewichtung dieses Thema’s ist abhängig von der Größe sowie der Branche des Unternehmens.</v>
      </c>
      <c r="J266" s="454" t="str">
        <f t="shared" si="13"/>
        <v>[pt]Die Gewichtung dieses Thema’s ist abhängig von der Größe sowie der Branche des Unternehmens.</v>
      </c>
      <c r="K266" s="454" t="str">
        <f t="shared" si="14"/>
        <v>[gr]Die Gewichtung dieses Thema’s ist abhängig von der Größe sowie der Branche des Unternehmens.</v>
      </c>
    </row>
    <row r="267" spans="2:11" ht="15.75" customHeight="1">
      <c r="D267" s="453">
        <f t="shared" si="5"/>
        <v>0</v>
      </c>
      <c r="E267" s="454"/>
      <c r="G267" s="454"/>
      <c r="H267" s="454"/>
      <c r="I267" s="454" t="str">
        <f t="shared" si="12"/>
        <v>[fr]</v>
      </c>
      <c r="J267" s="454" t="str">
        <f t="shared" si="13"/>
        <v>[pt]</v>
      </c>
      <c r="K267" s="454" t="str">
        <f t="shared" si="14"/>
        <v>[gr]</v>
      </c>
    </row>
    <row r="268" spans="2:11" ht="28.5" customHeight="1">
      <c r="D268" s="453" t="str">
        <f t="shared" si="5"/>
        <v>A - Landwirtschaft, Forstwirtschaft und Fischerei</v>
      </c>
      <c r="E268" s="454" t="s">
        <v>1677</v>
      </c>
      <c r="F268" s="454" t="s">
        <v>1678</v>
      </c>
      <c r="G268" s="460" t="s">
        <v>1679</v>
      </c>
      <c r="H268" s="454" t="s">
        <v>1680</v>
      </c>
      <c r="I268" s="454" t="str">
        <f t="shared" si="12"/>
        <v>[fr]A - Landwirtschaft, Forstwirtschaft und Fischerei</v>
      </c>
      <c r="J268" s="454" t="str">
        <f t="shared" si="13"/>
        <v>[pt]A - Landwirtschaft, Forstwirtschaft und Fischerei</v>
      </c>
      <c r="K268" s="454" t="str">
        <f t="shared" si="14"/>
        <v>[gr]A - Landwirtschaft, Forstwirtschaft und Fischerei</v>
      </c>
    </row>
    <row r="269" spans="2:11" ht="28.5" customHeight="1">
      <c r="D269" s="453" t="str">
        <f t="shared" si="5"/>
        <v>B - Bergbau und Gewinnung von Steinen und Erden</v>
      </c>
      <c r="E269" s="454" t="s">
        <v>1681</v>
      </c>
      <c r="F269" s="454" t="s">
        <v>1682</v>
      </c>
      <c r="G269" s="460" t="s">
        <v>1683</v>
      </c>
      <c r="H269" s="454" t="s">
        <v>1684</v>
      </c>
      <c r="I269" s="454" t="str">
        <f t="shared" si="12"/>
        <v>[fr]B - Bergbau und Gewinnung von Steinen und Erden</v>
      </c>
      <c r="J269" s="454" t="str">
        <f t="shared" si="13"/>
        <v>[pt]B - Bergbau und Gewinnung von Steinen und Erden</v>
      </c>
      <c r="K269" s="454" t="str">
        <f t="shared" si="14"/>
        <v>[gr]B - Bergbau und Gewinnung von Steinen und Erden</v>
      </c>
    </row>
    <row r="270" spans="2:11" ht="28.5" customHeight="1">
      <c r="D270" s="453" t="str">
        <f t="shared" si="5"/>
        <v>C - Verarbeitendes Gewerbe (nicht weiter spezifiziert)</v>
      </c>
      <c r="E270" s="454" t="s">
        <v>1685</v>
      </c>
      <c r="F270" s="454" t="s">
        <v>1686</v>
      </c>
      <c r="G270" s="460" t="s">
        <v>1687</v>
      </c>
      <c r="H270" s="454" t="s">
        <v>1688</v>
      </c>
      <c r="I270" s="454" t="str">
        <f t="shared" si="12"/>
        <v>[fr]C - Verarbeitendes Gewerbe (nicht weiter spezifiziert)</v>
      </c>
      <c r="J270" s="454" t="str">
        <f t="shared" si="13"/>
        <v>[pt]C - Verarbeitendes Gewerbe (nicht weiter spezifiziert)</v>
      </c>
      <c r="K270" s="454" t="str">
        <f t="shared" si="14"/>
        <v>[gr]C - Verarbeitendes Gewerbe (nicht weiter spezifiziert)</v>
      </c>
    </row>
    <row r="271" spans="2:11" ht="28.5" customHeight="1">
      <c r="D271" s="453" t="str">
        <f t="shared" si="5"/>
        <v>Ca - Produktion von Lebensmittel, Getränken und Tabak (C10,C11,C12)</v>
      </c>
      <c r="E271" s="454" t="s">
        <v>1689</v>
      </c>
      <c r="F271" s="454" t="s">
        <v>1690</v>
      </c>
      <c r="G271" s="460" t="s">
        <v>1691</v>
      </c>
      <c r="H271" s="454" t="s">
        <v>1692</v>
      </c>
      <c r="I271" s="454" t="str">
        <f t="shared" si="12"/>
        <v>[fr]Ca - Produktion von Lebensmittel, Getränken und Tabak (C10,C11,C12)</v>
      </c>
      <c r="J271" s="454" t="str">
        <f t="shared" si="13"/>
        <v>[pt]Ca - Produktion von Lebensmittel, Getränken und Tabak (C10,C11,C12)</v>
      </c>
      <c r="K271" s="454" t="str">
        <f t="shared" si="14"/>
        <v>[gr]Ca - Produktion von Lebensmittel, Getränken und Tabak (C10,C11,C12)</v>
      </c>
    </row>
    <row r="272" spans="2:11" ht="28.5" customHeight="1">
      <c r="D272" s="453" t="str">
        <f t="shared" si="5"/>
        <v>Cb - Produktion von Textilien, Kleidung, Leder und Produkten hieraus (C13,C14,C15)</v>
      </c>
      <c r="E272" s="454" t="s">
        <v>1693</v>
      </c>
      <c r="F272" s="454" t="s">
        <v>1694</v>
      </c>
      <c r="G272" s="460" t="s">
        <v>1695</v>
      </c>
      <c r="H272" s="454" t="s">
        <v>1696</v>
      </c>
      <c r="I272" s="454" t="str">
        <f t="shared" si="12"/>
        <v>[fr]Cb - Produktion von Textilien, Kleidung, Leder und Produkten hieraus (C13,C14,C15)</v>
      </c>
      <c r="J272" s="454" t="str">
        <f t="shared" si="13"/>
        <v>[pt]Cb - Produktion von Textilien, Kleidung, Leder und Produkten hieraus (C13,C14,C15)</v>
      </c>
      <c r="K272" s="454" t="str">
        <f t="shared" si="14"/>
        <v>[gr]Cb - Produktion von Textilien, Kleidung, Leder und Produkten hieraus (C13,C14,C15)</v>
      </c>
    </row>
    <row r="273" spans="4:11" ht="41.85" customHeight="1">
      <c r="D273" s="453" t="str">
        <f t="shared" si="5"/>
        <v>Cc - Produktion von Holz- und Papierprodukten sowie Drucksorten (C16,C17,C18)</v>
      </c>
      <c r="E273" s="454" t="s">
        <v>1697</v>
      </c>
      <c r="F273" s="454" t="s">
        <v>1698</v>
      </c>
      <c r="G273" s="460" t="s">
        <v>1699</v>
      </c>
      <c r="H273" s="454" t="s">
        <v>1700</v>
      </c>
      <c r="I273" s="454" t="str">
        <f t="shared" si="12"/>
        <v>[fr]Cc - Produktion von Holz- und Papierprodukten sowie Drucksorten (C16,C17,C18)</v>
      </c>
      <c r="J273" s="454" t="str">
        <f t="shared" si="13"/>
        <v>[pt]Cc - Produktion von Holz- und Papierprodukten sowie Drucksorten (C16,C17,C18)</v>
      </c>
      <c r="K273" s="454" t="str">
        <f t="shared" si="14"/>
        <v>[gr]Cc - Produktion von Holz- und Papierprodukten sowie Drucksorten (C16,C17,C18)</v>
      </c>
    </row>
    <row r="274" spans="4:11" ht="41.85" customHeight="1">
      <c r="D274" s="453" t="str">
        <f t="shared" si="5"/>
        <v>Cd - Produktion von petrochemischen Produkte und Kunststoffen (C19, C20;C22)</v>
      </c>
      <c r="E274" s="454" t="s">
        <v>1701</v>
      </c>
      <c r="F274" s="454" t="s">
        <v>1702</v>
      </c>
      <c r="G274" s="460" t="s">
        <v>1703</v>
      </c>
      <c r="H274" s="454" t="s">
        <v>1704</v>
      </c>
      <c r="I274" s="454" t="str">
        <f t="shared" si="12"/>
        <v>[fr]Cd - Produktion von petrochemischen Produkte und Kunststoffen (C19, C20;C22)</v>
      </c>
      <c r="J274" s="454" t="str">
        <f t="shared" si="13"/>
        <v>[pt]Cd - Produktion von petrochemischen Produkte und Kunststoffen (C19, C20;C22)</v>
      </c>
      <c r="K274" s="454" t="str">
        <f t="shared" si="14"/>
        <v>[gr]Cd - Produktion von petrochemischen Produkte und Kunststoffen (C19, C20;C22)</v>
      </c>
    </row>
    <row r="275" spans="4:11" ht="28.5" customHeight="1">
      <c r="D275" s="453" t="str">
        <f t="shared" si="5"/>
        <v>Ce - Produktion von pharmazeutischen Produktion und Präparaten (C21)</v>
      </c>
      <c r="E275" s="454" t="s">
        <v>1705</v>
      </c>
      <c r="F275" s="454" t="s">
        <v>1706</v>
      </c>
      <c r="G275" s="460" t="s">
        <v>1707</v>
      </c>
      <c r="H275" s="454" t="s">
        <v>1708</v>
      </c>
      <c r="I275" s="454" t="str">
        <f t="shared" si="12"/>
        <v>[fr]Ce - Produktion von pharmazeutischen Produktion und Präparaten (C21)</v>
      </c>
      <c r="J275" s="454" t="str">
        <f t="shared" si="13"/>
        <v>[pt]Ce - Produktion von pharmazeutischen Produktion und Präparaten (C21)</v>
      </c>
      <c r="K275" s="454" t="str">
        <f t="shared" si="14"/>
        <v>[gr]Ce - Produktion von pharmazeutischen Produktion und Präparaten (C21)</v>
      </c>
    </row>
    <row r="276" spans="4:11" ht="28.5" customHeight="1">
      <c r="D276" s="453" t="str">
        <f t="shared" si="5"/>
        <v>Cf - Produktion nicht metallischer Mineralstoffe (C23)</v>
      </c>
      <c r="E276" s="454" t="s">
        <v>1709</v>
      </c>
      <c r="F276" s="454" t="s">
        <v>1710</v>
      </c>
      <c r="G276" s="460" t="s">
        <v>1711</v>
      </c>
      <c r="H276" s="454" t="s">
        <v>1712</v>
      </c>
      <c r="I276" s="454" t="str">
        <f t="shared" si="12"/>
        <v>[fr]Cf - Produktion nicht metallischer Mineralstoffe (C23)</v>
      </c>
      <c r="J276" s="454" t="str">
        <f t="shared" si="13"/>
        <v>[pt]Cf - Produktion nicht metallischer Mineralstoffe (C23)</v>
      </c>
      <c r="K276" s="454" t="str">
        <f t="shared" si="14"/>
        <v>[gr]Cf - Produktion nicht metallischer Mineralstoffe (C23)</v>
      </c>
    </row>
    <row r="277" spans="4:11" ht="54.75" customHeight="1">
      <c r="D277" s="453" t="str">
        <f t="shared" si="5"/>
        <v>Cg - Produktion von Metallen und metallischen Produkten (exkl. Maschinen und Geräten) (C24,C25)</v>
      </c>
      <c r="E277" s="454" t="s">
        <v>1713</v>
      </c>
      <c r="F277" s="454" t="s">
        <v>1714</v>
      </c>
      <c r="G277" s="460" t="s">
        <v>1715</v>
      </c>
      <c r="H277" s="454" t="s">
        <v>1716</v>
      </c>
      <c r="I277" s="454" t="str">
        <f t="shared" si="12"/>
        <v>[fr]Cg - Produktion von Metallen und metallischen Produkten (exkl. Maschinen und Geräten) (C24,C25)</v>
      </c>
      <c r="J277" s="454" t="str">
        <f t="shared" si="13"/>
        <v>[pt]Cg - Produktion von Metallen und metallischen Produkten (exkl. Maschinen und Geräten) (C24,C25)</v>
      </c>
      <c r="K277" s="454" t="str">
        <f t="shared" si="14"/>
        <v>[gr]Cg - Produktion von Metallen und metallischen Produkten (exkl. Maschinen und Geräten) (C24,C25)</v>
      </c>
    </row>
    <row r="278" spans="4:11" ht="54.75" customHeight="1">
      <c r="D278" s="453" t="str">
        <f t="shared" si="5"/>
        <v>Ch - Produktion von elektronischen, optischen und sonstigen Geräten und Bauteilen sowie Computer (C26,C27,C28)</v>
      </c>
      <c r="E278" s="454" t="s">
        <v>1717</v>
      </c>
      <c r="F278" s="454" t="s">
        <v>1718</v>
      </c>
      <c r="G278" s="460" t="s">
        <v>1719</v>
      </c>
      <c r="H278" s="454" t="s">
        <v>1720</v>
      </c>
      <c r="I278" s="454" t="str">
        <f t="shared" si="12"/>
        <v>[fr]Ch - Produktion von elektronischen, optischen und sonstigen Geräten und Bauteilen sowie Computer (C26,C27,C28)</v>
      </c>
      <c r="J278" s="454" t="str">
        <f t="shared" si="13"/>
        <v>[pt]Ch - Produktion von elektronischen, optischen und sonstigen Geräten und Bauteilen sowie Computer (C26,C27,C28)</v>
      </c>
      <c r="K278" s="454" t="str">
        <f t="shared" si="14"/>
        <v>[gr]Ch - Produktion von elektronischen, optischen und sonstigen Geräten und Bauteilen sowie Computer (C26,C27,C28)</v>
      </c>
    </row>
    <row r="279" spans="4:11" ht="28.5" customHeight="1">
      <c r="D279" s="453" t="str">
        <f t="shared" si="5"/>
        <v xml:space="preserve">D - Strom-, Gas-, Dampfversorgung und Kühlung </v>
      </c>
      <c r="E279" s="454" t="s">
        <v>1721</v>
      </c>
      <c r="F279" s="454" t="s">
        <v>1722</v>
      </c>
      <c r="G279" s="460" t="s">
        <v>1723</v>
      </c>
      <c r="H279" s="454" t="s">
        <v>1724</v>
      </c>
      <c r="I279" s="454" t="str">
        <f t="shared" si="12"/>
        <v xml:space="preserve">[fr]D - Strom-, Gas-, Dampfversorgung und Kühlung </v>
      </c>
      <c r="J279" s="454" t="str">
        <f t="shared" si="13"/>
        <v xml:space="preserve">[pt]D - Strom-, Gas-, Dampfversorgung und Kühlung </v>
      </c>
      <c r="K279" s="454" t="str">
        <f t="shared" si="14"/>
        <v xml:space="preserve">[gr]D - Strom-, Gas-, Dampfversorgung und Kühlung </v>
      </c>
    </row>
    <row r="280" spans="4:11" ht="28.5" customHeight="1">
      <c r="D280" s="453" t="str">
        <f t="shared" si="5"/>
        <v>E - Wasserversorgung, Abfallwirtschaft</v>
      </c>
      <c r="E280" s="454" t="s">
        <v>1725</v>
      </c>
      <c r="F280" s="454" t="s">
        <v>1726</v>
      </c>
      <c r="G280" s="460" t="s">
        <v>1727</v>
      </c>
      <c r="H280" s="454" t="s">
        <v>1728</v>
      </c>
      <c r="I280" s="454" t="str">
        <f t="shared" si="12"/>
        <v>[fr]E - Wasserversorgung, Abfallwirtschaft</v>
      </c>
      <c r="J280" s="454" t="str">
        <f t="shared" si="13"/>
        <v>[pt]E - Wasserversorgung, Abfallwirtschaft</v>
      </c>
      <c r="K280" s="454" t="str">
        <f t="shared" si="14"/>
        <v>[gr]E - Wasserversorgung, Abfallwirtschaft</v>
      </c>
    </row>
    <row r="281" spans="4:11" ht="15.75" customHeight="1">
      <c r="D281" s="453" t="str">
        <f t="shared" si="5"/>
        <v>F - Baugewerbe</v>
      </c>
      <c r="E281" s="454" t="s">
        <v>1729</v>
      </c>
      <c r="F281" s="454" t="s">
        <v>1730</v>
      </c>
      <c r="G281" s="460" t="s">
        <v>1731</v>
      </c>
      <c r="H281" s="454" t="s">
        <v>1732</v>
      </c>
      <c r="I281" s="454" t="str">
        <f t="shared" si="12"/>
        <v>[fr]F - Baugewerbe</v>
      </c>
      <c r="J281" s="454" t="str">
        <f t="shared" si="13"/>
        <v>[pt]F - Baugewerbe</v>
      </c>
      <c r="K281" s="454" t="str">
        <f t="shared" si="14"/>
        <v>[gr]F - Baugewerbe</v>
      </c>
    </row>
    <row r="282" spans="4:11" ht="41.85" customHeight="1">
      <c r="D282" s="453" t="str">
        <f t="shared" si="5"/>
        <v>G - Groß- und Einzelhandel sowie Werkstätten für Kraftfahrzeuge (Anmerkung: Groß- und Einzelhandel nicht auf KFZ beschränkt)</v>
      </c>
      <c r="E282" s="459" t="s">
        <v>1733</v>
      </c>
      <c r="F282" s="454" t="s">
        <v>1734</v>
      </c>
      <c r="G282" s="460" t="s">
        <v>1735</v>
      </c>
      <c r="H282" s="454" t="s">
        <v>1736</v>
      </c>
      <c r="I282" s="454" t="str">
        <f t="shared" si="12"/>
        <v>[fr]G - Groß- und Einzelhandel sowie Werkstätten für Kraftfahrzeuge (Anmerkung: Groß- und Einzelhandel nicht auf KFZ beschränkt)</v>
      </c>
      <c r="J282" s="454" t="str">
        <f t="shared" si="13"/>
        <v>[pt]G - Groß- und Einzelhandel sowie Werkstätten für Kraftfahrzeuge (Anmerkung: Groß- und Einzelhandel nicht auf KFZ beschränkt)</v>
      </c>
      <c r="K282" s="454" t="str">
        <f t="shared" si="14"/>
        <v>[gr]G - Groß- und Einzelhandel sowie Werkstätten für Kraftfahrzeuge (Anmerkung: Groß- und Einzelhandel nicht auf KFZ beschränkt)</v>
      </c>
    </row>
    <row r="283" spans="4:11" ht="15.75" customHeight="1">
      <c r="D283" s="453" t="str">
        <f t="shared" si="5"/>
        <v>H - Verkehr und Lagerhaltung</v>
      </c>
      <c r="E283" s="454" t="s">
        <v>1737</v>
      </c>
      <c r="F283" s="454" t="s">
        <v>1738</v>
      </c>
      <c r="G283" s="460" t="s">
        <v>1739</v>
      </c>
      <c r="H283" s="454" t="s">
        <v>1740</v>
      </c>
      <c r="I283" s="454" t="str">
        <f t="shared" si="12"/>
        <v>[fr]H - Verkehr und Lagerhaltung</v>
      </c>
      <c r="J283" s="454" t="str">
        <f t="shared" si="13"/>
        <v>[pt]H - Verkehr und Lagerhaltung</v>
      </c>
      <c r="K283" s="454" t="str">
        <f t="shared" si="14"/>
        <v>[gr]H - Verkehr und Lagerhaltung</v>
      </c>
    </row>
    <row r="284" spans="4:11" ht="15.75" customHeight="1">
      <c r="D284" s="453" t="str">
        <f t="shared" si="5"/>
        <v>I - Beherbergung und Gastronomie</v>
      </c>
      <c r="E284" s="454" t="s">
        <v>1741</v>
      </c>
      <c r="F284" s="454" t="s">
        <v>1742</v>
      </c>
      <c r="G284" s="460" t="s">
        <v>1743</v>
      </c>
      <c r="H284" s="454" t="s">
        <v>1744</v>
      </c>
      <c r="I284" s="454" t="str">
        <f t="shared" si="12"/>
        <v>[fr]I - Beherbergung und Gastronomie</v>
      </c>
      <c r="J284" s="454" t="str">
        <f t="shared" si="13"/>
        <v>[pt]I - Beherbergung und Gastronomie</v>
      </c>
      <c r="K284" s="454" t="str">
        <f t="shared" si="14"/>
        <v>[gr]I - Beherbergung und Gastronomie</v>
      </c>
    </row>
    <row r="285" spans="4:11" ht="15.75" customHeight="1">
      <c r="D285" s="453" t="str">
        <f t="shared" si="5"/>
        <v>J - Information und Kommunikation</v>
      </c>
      <c r="E285" s="454" t="s">
        <v>1745</v>
      </c>
      <c r="F285" s="454" t="s">
        <v>1746</v>
      </c>
      <c r="G285" s="460" t="s">
        <v>1747</v>
      </c>
      <c r="H285" s="454" t="s">
        <v>1748</v>
      </c>
      <c r="I285" s="454" t="str">
        <f t="shared" si="12"/>
        <v>[fr]J - Information und Kommunikation</v>
      </c>
      <c r="J285" s="454" t="str">
        <f t="shared" si="13"/>
        <v>[pt]J - Information und Kommunikation</v>
      </c>
      <c r="K285" s="454" t="str">
        <f t="shared" si="14"/>
        <v>[gr]J - Information und Kommunikation</v>
      </c>
    </row>
    <row r="286" spans="4:11" ht="15.75" customHeight="1">
      <c r="D286" s="453" t="str">
        <f t="shared" si="5"/>
        <v>K - Kredit- und Finanzwesen</v>
      </c>
      <c r="E286" s="454" t="s">
        <v>1749</v>
      </c>
      <c r="F286" s="454" t="s">
        <v>1750</v>
      </c>
      <c r="G286" s="460" t="s">
        <v>1751</v>
      </c>
      <c r="H286" s="454" t="s">
        <v>1752</v>
      </c>
      <c r="I286" s="454" t="str">
        <f t="shared" si="12"/>
        <v>[fr]K - Kredit- und Finanzwesen</v>
      </c>
      <c r="J286" s="454" t="str">
        <f t="shared" si="13"/>
        <v>[pt]K - Kredit- und Finanzwesen</v>
      </c>
      <c r="K286" s="454" t="str">
        <f t="shared" si="14"/>
        <v>[gr]K - Kredit- und Finanzwesen</v>
      </c>
    </row>
    <row r="287" spans="4:11" ht="15.75" customHeight="1">
      <c r="D287" s="453" t="str">
        <f t="shared" si="5"/>
        <v>L - (Immobilienwirtschaft</v>
      </c>
      <c r="E287" s="454" t="s">
        <v>1753</v>
      </c>
      <c r="F287" s="454" t="s">
        <v>1754</v>
      </c>
      <c r="G287" s="460" t="s">
        <v>1755</v>
      </c>
      <c r="H287" s="454" t="s">
        <v>1756</v>
      </c>
      <c r="I287" s="454" t="str">
        <f t="shared" si="12"/>
        <v>[fr]L - (Immobilienwirtschaft</v>
      </c>
      <c r="J287" s="454" t="str">
        <f t="shared" si="13"/>
        <v>[pt]L - (Immobilienwirtschaft</v>
      </c>
      <c r="K287" s="454" t="str">
        <f t="shared" si="14"/>
        <v>[gr]L - (Immobilienwirtschaft</v>
      </c>
    </row>
    <row r="288" spans="4:11" ht="28.5" customHeight="1">
      <c r="D288" s="453" t="str">
        <f t="shared" si="5"/>
        <v>M - Freiberufliche, wissenschaftliche und technische Dienstleistungen</v>
      </c>
      <c r="E288" s="454" t="s">
        <v>1757</v>
      </c>
      <c r="F288" s="454" t="s">
        <v>1758</v>
      </c>
      <c r="G288" s="460" t="s">
        <v>1759</v>
      </c>
      <c r="H288" s="454" t="s">
        <v>1760</v>
      </c>
      <c r="I288" s="454" t="str">
        <f t="shared" si="12"/>
        <v>[fr]M - Freiberufliche, wissenschaftliche und technische Dienstleistungen</v>
      </c>
      <c r="J288" s="454" t="str">
        <f t="shared" si="13"/>
        <v>[pt]M - Freiberufliche, wissenschaftliche und technische Dienstleistungen</v>
      </c>
      <c r="K288" s="454" t="str">
        <f t="shared" si="14"/>
        <v>[gr]M - Freiberufliche, wissenschaftliche und technische Dienstleistungen</v>
      </c>
    </row>
    <row r="289" spans="1:11" ht="28.5" customHeight="1">
      <c r="D289" s="453" t="str">
        <f t="shared" si="5"/>
        <v>N - Administrative und unterstützende Dienstleistungen</v>
      </c>
      <c r="E289" s="454" t="s">
        <v>1761</v>
      </c>
      <c r="F289" s="454" t="s">
        <v>1762</v>
      </c>
      <c r="G289" s="460" t="s">
        <v>1763</v>
      </c>
      <c r="H289" s="454" t="s">
        <v>1764</v>
      </c>
      <c r="I289" s="454" t="str">
        <f t="shared" si="12"/>
        <v>[fr]N - Administrative und unterstützende Dienstleistungen</v>
      </c>
      <c r="J289" s="454" t="str">
        <f t="shared" si="13"/>
        <v>[pt]N - Administrative und unterstützende Dienstleistungen</v>
      </c>
      <c r="K289" s="454" t="str">
        <f t="shared" si="14"/>
        <v>[gr]N - Administrative und unterstützende Dienstleistungen</v>
      </c>
    </row>
    <row r="290" spans="1:11" ht="28.5" customHeight="1">
      <c r="D290" s="453" t="str">
        <f t="shared" si="5"/>
        <v>O - Öffentliche Verwaltung; Verteidigung; Sozialversicherungswesen</v>
      </c>
      <c r="E290" s="454" t="s">
        <v>1765</v>
      </c>
      <c r="F290" s="454" t="s">
        <v>1766</v>
      </c>
      <c r="G290" s="460" t="s">
        <v>1767</v>
      </c>
      <c r="H290" s="454" t="s">
        <v>1768</v>
      </c>
      <c r="I290" s="454" t="str">
        <f t="shared" si="12"/>
        <v>[fr]O - Öffentliche Verwaltung; Verteidigung; Sozialversicherungswesen</v>
      </c>
      <c r="J290" s="454" t="str">
        <f t="shared" si="13"/>
        <v>[pt]O - Öffentliche Verwaltung; Verteidigung; Sozialversicherungswesen</v>
      </c>
      <c r="K290" s="454" t="str">
        <f t="shared" si="14"/>
        <v>[gr]O - Öffentliche Verwaltung; Verteidigung; Sozialversicherungswesen</v>
      </c>
    </row>
    <row r="291" spans="1:11" ht="15.75" customHeight="1">
      <c r="D291" s="453" t="str">
        <f t="shared" si="5"/>
        <v>P - Bildung</v>
      </c>
      <c r="E291" s="454" t="s">
        <v>8</v>
      </c>
      <c r="F291" s="454" t="s">
        <v>1769</v>
      </c>
      <c r="G291" s="460" t="s">
        <v>1770</v>
      </c>
      <c r="H291" s="454" t="s">
        <v>1771</v>
      </c>
      <c r="I291" s="454" t="str">
        <f t="shared" si="12"/>
        <v>[fr]P - Bildung</v>
      </c>
      <c r="J291" s="454" t="str">
        <f t="shared" si="13"/>
        <v>[pt]P - Bildung</v>
      </c>
      <c r="K291" s="454" t="str">
        <f t="shared" si="14"/>
        <v>[gr]P - Bildung</v>
      </c>
    </row>
    <row r="292" spans="1:11" ht="28.5" customHeight="1">
      <c r="D292" s="453" t="str">
        <f t="shared" si="5"/>
        <v>Q - Gesundheit und Sozialarbeit</v>
      </c>
      <c r="E292" s="454" t="s">
        <v>1772</v>
      </c>
      <c r="F292" s="454" t="s">
        <v>1773</v>
      </c>
      <c r="G292" s="460" t="s">
        <v>1774</v>
      </c>
      <c r="H292" s="454" t="s">
        <v>1775</v>
      </c>
      <c r="I292" s="454" t="str">
        <f t="shared" si="12"/>
        <v>[fr]Q - Gesundheit und Sozialarbeit</v>
      </c>
      <c r="J292" s="454" t="str">
        <f t="shared" si="13"/>
        <v>[pt]Q - Gesundheit und Sozialarbeit</v>
      </c>
      <c r="K292" s="454" t="str">
        <f t="shared" si="14"/>
        <v>[gr]Q - Gesundheit und Sozialarbeit</v>
      </c>
    </row>
    <row r="293" spans="1:11" ht="28.5" customHeight="1">
      <c r="D293" s="453" t="str">
        <f t="shared" si="5"/>
        <v>R - Kunst, Unterhaltung und Erholung</v>
      </c>
      <c r="E293" s="454" t="s">
        <v>1776</v>
      </c>
      <c r="F293" s="454" t="s">
        <v>1777</v>
      </c>
      <c r="G293" s="460" t="s">
        <v>1778</v>
      </c>
      <c r="H293" s="454" t="s">
        <v>1779</v>
      </c>
      <c r="I293" s="454" t="str">
        <f t="shared" si="12"/>
        <v>[fr]R - Kunst, Unterhaltung und Erholung</v>
      </c>
      <c r="J293" s="454" t="str">
        <f t="shared" si="13"/>
        <v>[pt]R - Kunst, Unterhaltung und Erholung</v>
      </c>
      <c r="K293" s="454" t="str">
        <f t="shared" si="14"/>
        <v>[gr]R - Kunst, Unterhaltung und Erholung</v>
      </c>
    </row>
    <row r="294" spans="1:11" ht="15.75" customHeight="1">
      <c r="D294" s="453" t="str">
        <f t="shared" ref="D294:D338" si="15">HLOOKUP($C$1,$E$1:$X$4910,ROW(D294))</f>
        <v>S - Andere Dienstleistungen</v>
      </c>
      <c r="E294" s="454" t="s">
        <v>1780</v>
      </c>
      <c r="F294" s="454" t="s">
        <v>1781</v>
      </c>
      <c r="G294" s="460" t="s">
        <v>1782</v>
      </c>
      <c r="H294" s="454" t="s">
        <v>1783</v>
      </c>
      <c r="I294" s="454" t="str">
        <f t="shared" si="12"/>
        <v>[fr]S - Andere Dienstleistungen</v>
      </c>
      <c r="J294" s="454" t="str">
        <f t="shared" si="13"/>
        <v>[pt]S - Andere Dienstleistungen</v>
      </c>
      <c r="K294" s="454" t="str">
        <f t="shared" si="14"/>
        <v>[gr]S - Andere Dienstleistungen</v>
      </c>
    </row>
    <row r="295" spans="1:11" ht="54.75" customHeight="1">
      <c r="A295" s="520"/>
      <c r="B295" s="520"/>
      <c r="C295" s="520"/>
      <c r="D295" s="453" t="str">
        <f t="shared" si="15"/>
        <v>T - Private Haushalte</v>
      </c>
      <c r="E295" s="459" t="s">
        <v>1784</v>
      </c>
      <c r="F295" s="454" t="s">
        <v>1785</v>
      </c>
      <c r="G295" s="460" t="s">
        <v>1468</v>
      </c>
      <c r="H295" s="454" t="s">
        <v>1786</v>
      </c>
      <c r="I295" s="454" t="str">
        <f t="shared" si="12"/>
        <v>[fr]T - Private Haushalte</v>
      </c>
      <c r="J295" s="454" t="str">
        <f t="shared" si="13"/>
        <v>[pt]T - Private Haushalte</v>
      </c>
      <c r="K295" s="454" t="str">
        <f t="shared" si="14"/>
        <v>[gr]T - Private Haushalte</v>
      </c>
    </row>
    <row r="296" spans="1:11" ht="28.5" customHeight="1">
      <c r="D296" s="453" t="str">
        <f t="shared" si="15"/>
        <v>U - Exterritoriale Organisationen und Körperschaften</v>
      </c>
      <c r="E296" s="454" t="s">
        <v>1787</v>
      </c>
      <c r="F296" s="454" t="s">
        <v>1788</v>
      </c>
      <c r="G296" s="460" t="s">
        <v>1789</v>
      </c>
      <c r="H296" s="454" t="s">
        <v>1790</v>
      </c>
      <c r="I296" s="454" t="str">
        <f t="shared" si="12"/>
        <v>[fr]U - Exterritoriale Organisationen und Körperschaften</v>
      </c>
      <c r="J296" s="454" t="str">
        <f t="shared" si="13"/>
        <v>[pt]U - Exterritoriale Organisationen und Körperschaften</v>
      </c>
      <c r="K296" s="454" t="str">
        <f t="shared" si="14"/>
        <v>[gr]U - Exterritoriale Organisationen und Körperschaften</v>
      </c>
    </row>
    <row r="297" spans="1:11" ht="15.75" customHeight="1">
      <c r="D297" s="453" t="str">
        <f t="shared" si="15"/>
        <v>Gesamt-Ausgaben an Lieferanten (in Euro):</v>
      </c>
      <c r="E297" s="454" t="s">
        <v>1791</v>
      </c>
      <c r="F297" s="454" t="s">
        <v>1792</v>
      </c>
      <c r="G297" s="460" t="s">
        <v>1793</v>
      </c>
      <c r="H297" s="454" t="s">
        <v>1794</v>
      </c>
      <c r="I297" s="454" t="str">
        <f t="shared" si="12"/>
        <v>[fr]Gesamt-Ausgaben an Lieferanten (in Euro):</v>
      </c>
      <c r="J297" s="454" t="str">
        <f t="shared" si="13"/>
        <v>[pt]Gesamt-Ausgaben an Lieferanten (in Euro):</v>
      </c>
      <c r="K297" s="454" t="str">
        <f t="shared" si="14"/>
        <v>[gr]Gesamt-Ausgaben an Lieferanten (in Euro):</v>
      </c>
    </row>
    <row r="298" spans="1:11" ht="41.85" customHeight="1">
      <c r="D298" s="453" t="str">
        <f t="shared" si="15"/>
        <v xml:space="preserve">Tragen Sie nachstehend, bitte die 5 wichtigstenBranchen ein, aus denen Sie Produkte/Dienstleistungen beziehen. </v>
      </c>
      <c r="E298" s="454" t="s">
        <v>1795</v>
      </c>
      <c r="F298" s="454" t="s">
        <v>1796</v>
      </c>
      <c r="G298" s="460" t="s">
        <v>1797</v>
      </c>
      <c r="H298" s="454" t="s">
        <v>1798</v>
      </c>
      <c r="I298" s="454" t="str">
        <f t="shared" si="12"/>
        <v xml:space="preserve">[fr]Tragen Sie nachstehend, bitte die 5 wichtigstenBranchen ein, aus denen Sie Produkte/Dienstleistungen beziehen. </v>
      </c>
      <c r="J298" s="454" t="str">
        <f t="shared" si="13"/>
        <v xml:space="preserve">[pt]Tragen Sie nachstehend, bitte die 5 wichtigstenBranchen ein, aus denen Sie Produkte/Dienstleistungen beziehen. </v>
      </c>
      <c r="K298" s="454" t="str">
        <f t="shared" si="14"/>
        <v xml:space="preserve">[gr]Tragen Sie nachstehend, bitte die 5 wichtigstenBranchen ein, aus denen Sie Produkte/Dienstleistungen beziehen. </v>
      </c>
    </row>
    <row r="299" spans="1:11" ht="15.75" customHeight="1">
      <c r="D299" s="453" t="str">
        <f t="shared" si="15"/>
        <v>Branche</v>
      </c>
      <c r="E299" s="454" t="s">
        <v>1799</v>
      </c>
      <c r="F299" s="454" t="s">
        <v>1800</v>
      </c>
      <c r="G299" s="460" t="s">
        <v>1801</v>
      </c>
      <c r="H299" s="454" t="s">
        <v>1802</v>
      </c>
      <c r="I299" s="454" t="str">
        <f t="shared" si="12"/>
        <v>[fr]Branche</v>
      </c>
      <c r="J299" s="454" t="str">
        <f t="shared" si="13"/>
        <v>[pt]Branche</v>
      </c>
      <c r="K299" s="454" t="str">
        <f t="shared" si="14"/>
        <v>[gr]Branche</v>
      </c>
    </row>
    <row r="300" spans="1:11" ht="15.75" customHeight="1">
      <c r="D300" s="453" t="str">
        <f t="shared" si="15"/>
        <v>Beschreibung</v>
      </c>
      <c r="E300" s="454" t="s">
        <v>1803</v>
      </c>
      <c r="F300" s="454" t="s">
        <v>1013</v>
      </c>
      <c r="G300" s="460" t="s">
        <v>1804</v>
      </c>
      <c r="H300" s="454" t="s">
        <v>1805</v>
      </c>
      <c r="I300" s="454" t="str">
        <f t="shared" si="12"/>
        <v>[fr]Beschreibung</v>
      </c>
      <c r="J300" s="454" t="str">
        <f t="shared" si="13"/>
        <v>[pt]Beschreibung</v>
      </c>
      <c r="K300" s="454" t="str">
        <f t="shared" si="14"/>
        <v>[gr]Beschreibung</v>
      </c>
    </row>
    <row r="301" spans="1:11" ht="15.75" customHeight="1">
      <c r="D301" s="453" t="str">
        <f t="shared" si="15"/>
        <v>regionale Herkunft</v>
      </c>
      <c r="E301" s="454" t="s">
        <v>1806</v>
      </c>
      <c r="F301" s="454" t="s">
        <v>1807</v>
      </c>
      <c r="G301" s="460" t="s">
        <v>1808</v>
      </c>
      <c r="H301" s="454" t="s">
        <v>1809</v>
      </c>
      <c r="I301" s="454" t="str">
        <f t="shared" si="12"/>
        <v>[fr]regionale Herkunft</v>
      </c>
      <c r="J301" s="454" t="str">
        <f t="shared" si="13"/>
        <v>[pt]regionale Herkunft</v>
      </c>
      <c r="K301" s="454" t="str">
        <f t="shared" si="14"/>
        <v>[gr]regionale Herkunft</v>
      </c>
    </row>
    <row r="302" spans="1:11" ht="15.75" customHeight="1">
      <c r="D302" s="453" t="str">
        <f t="shared" si="15"/>
        <v>Ausgaben</v>
      </c>
      <c r="E302" s="454" t="s">
        <v>1810</v>
      </c>
      <c r="F302" s="454" t="s">
        <v>1811</v>
      </c>
      <c r="G302" s="460" t="s">
        <v>1812</v>
      </c>
      <c r="H302" s="454" t="s">
        <v>1813</v>
      </c>
      <c r="I302" s="454" t="str">
        <f t="shared" si="12"/>
        <v>[fr]Ausgaben</v>
      </c>
      <c r="J302" s="454" t="str">
        <f t="shared" si="13"/>
        <v>[pt]Ausgaben</v>
      </c>
      <c r="K302" s="454" t="str">
        <f t="shared" si="14"/>
        <v>[gr]Ausgaben</v>
      </c>
    </row>
    <row r="303" spans="1:11" ht="28.5" customHeight="1">
      <c r="D303" s="453" t="str">
        <f t="shared" si="15"/>
        <v>Überwiegende Herkunft restlicher Lieferanten</v>
      </c>
      <c r="E303" s="454" t="s">
        <v>1814</v>
      </c>
      <c r="F303" s="454" t="s">
        <v>1815</v>
      </c>
      <c r="G303" s="460" t="s">
        <v>1816</v>
      </c>
      <c r="H303" s="454" t="s">
        <v>1817</v>
      </c>
      <c r="I303" s="454" t="str">
        <f t="shared" si="12"/>
        <v>[fr]Überwiegende Herkunft restlicher Lieferanten</v>
      </c>
      <c r="J303" s="454" t="str">
        <f t="shared" si="13"/>
        <v>[pt]Überwiegende Herkunft restlicher Lieferanten</v>
      </c>
      <c r="K303" s="454" t="str">
        <f t="shared" si="14"/>
        <v>[gr]Überwiegende Herkunft restlicher Lieferanten</v>
      </c>
    </row>
    <row r="304" spans="1:11" ht="15.75" customHeight="1">
      <c r="D304" s="453" t="str">
        <f t="shared" si="15"/>
        <v>Gewinn (EBIT):</v>
      </c>
      <c r="E304" s="454" t="s">
        <v>1818</v>
      </c>
      <c r="F304" s="474" t="s">
        <v>1819</v>
      </c>
      <c r="G304" s="460" t="s">
        <v>1820</v>
      </c>
      <c r="H304" s="454" t="s">
        <v>1821</v>
      </c>
      <c r="I304" s="454" t="str">
        <f t="shared" si="12"/>
        <v>[fr]Gewinn (EBIT):</v>
      </c>
      <c r="J304" s="454" t="str">
        <f t="shared" si="13"/>
        <v>[pt]Gewinn (EBIT):</v>
      </c>
      <c r="K304" s="454" t="str">
        <f t="shared" si="14"/>
        <v>[gr]Gewinn (EBIT):</v>
      </c>
    </row>
    <row r="305" spans="4:11" ht="15.75" customHeight="1">
      <c r="D305" s="453" t="str">
        <f t="shared" si="15"/>
        <v>Finanzierungskosten</v>
      </c>
      <c r="E305" s="454" t="s">
        <v>1822</v>
      </c>
      <c r="F305" s="454" t="s">
        <v>1823</v>
      </c>
      <c r="G305" s="460" t="s">
        <v>1824</v>
      </c>
      <c r="H305" s="454" t="s">
        <v>1825</v>
      </c>
      <c r="I305" s="454" t="str">
        <f t="shared" si="12"/>
        <v>[fr]Finanzierungskosten</v>
      </c>
      <c r="J305" s="454" t="str">
        <f t="shared" si="13"/>
        <v>[pt]Finanzierungskosten</v>
      </c>
      <c r="K305" s="454" t="str">
        <f t="shared" si="14"/>
        <v>[gr]Finanzierungskosten</v>
      </c>
    </row>
    <row r="306" spans="4:11" ht="15.75" customHeight="1">
      <c r="D306" s="453" t="str">
        <f t="shared" si="15"/>
        <v>Erträge aus Finanzanlagen</v>
      </c>
      <c r="E306" s="454" t="s">
        <v>1826</v>
      </c>
      <c r="F306" s="454" t="s">
        <v>1827</v>
      </c>
      <c r="G306" s="460" t="s">
        <v>1828</v>
      </c>
      <c r="H306" s="454" t="s">
        <v>1829</v>
      </c>
      <c r="I306" s="454" t="str">
        <f t="shared" si="12"/>
        <v>[fr]Erträge aus Finanzanlagen</v>
      </c>
      <c r="J306" s="454" t="str">
        <f t="shared" si="13"/>
        <v>[pt]Erträge aus Finanzanlagen</v>
      </c>
      <c r="K306" s="454" t="str">
        <f t="shared" si="14"/>
        <v>[gr]Erträge aus Finanzanlagen</v>
      </c>
    </row>
    <row r="307" spans="4:11" ht="15.75" customHeight="1">
      <c r="D307" s="453" t="str">
        <f t="shared" si="15"/>
        <v>Bilanzaktiva</v>
      </c>
      <c r="E307" s="454" t="s">
        <v>1830</v>
      </c>
      <c r="F307" s="474" t="s">
        <v>1831</v>
      </c>
      <c r="G307" s="460" t="s">
        <v>1832</v>
      </c>
      <c r="H307" s="454" t="s">
        <v>1833</v>
      </c>
      <c r="I307" s="454" t="str">
        <f t="shared" si="12"/>
        <v>[fr]Bilanzaktiva</v>
      </c>
      <c r="J307" s="454" t="str">
        <f t="shared" si="13"/>
        <v>[pt]Bilanzaktiva</v>
      </c>
      <c r="K307" s="454" t="str">
        <f t="shared" si="14"/>
        <v>[gr]Bilanzaktiva</v>
      </c>
    </row>
    <row r="308" spans="4:11" ht="15.75" customHeight="1">
      <c r="D308" s="453" t="str">
        <f t="shared" si="15"/>
        <v xml:space="preserve">Zugänge zum Anlagevermögen </v>
      </c>
      <c r="E308" s="454" t="s">
        <v>1834</v>
      </c>
      <c r="F308" s="474" t="s">
        <v>1835</v>
      </c>
      <c r="G308" s="460" t="s">
        <v>1836</v>
      </c>
      <c r="H308" s="454" t="s">
        <v>1837</v>
      </c>
      <c r="I308" s="454" t="str">
        <f t="shared" si="12"/>
        <v xml:space="preserve">[fr]Zugänge zum Anlagevermögen </v>
      </c>
      <c r="J308" s="454" t="str">
        <f t="shared" si="13"/>
        <v xml:space="preserve">[pt]Zugänge zum Anlagevermögen </v>
      </c>
      <c r="K308" s="454" t="str">
        <f t="shared" si="14"/>
        <v xml:space="preserve">[gr]Zugänge zum Anlagevermögen </v>
      </c>
    </row>
    <row r="309" spans="4:11" ht="15.75" customHeight="1">
      <c r="D309" s="453" t="str">
        <f t="shared" si="15"/>
        <v>Finanzanlagen und Barguthaben</v>
      </c>
      <c r="E309" s="454" t="s">
        <v>1838</v>
      </c>
      <c r="F309" s="474" t="s">
        <v>1839</v>
      </c>
      <c r="G309" s="460" t="s">
        <v>1840</v>
      </c>
      <c r="H309" s="454" t="s">
        <v>1841</v>
      </c>
      <c r="I309" s="454" t="str">
        <f t="shared" si="12"/>
        <v>[fr]Finanzanlagen und Barguthaben</v>
      </c>
      <c r="J309" s="454" t="str">
        <f t="shared" si="13"/>
        <v>[pt]Finanzanlagen und Barguthaben</v>
      </c>
      <c r="K309" s="454" t="str">
        <f t="shared" si="14"/>
        <v>[gr]Finanzanlagen und Barguthaben</v>
      </c>
    </row>
    <row r="310" spans="4:11" ht="28.5" customHeight="1">
      <c r="D310" s="453" t="str">
        <f t="shared" si="15"/>
        <v xml:space="preserve">Anzahl der Mitarbeitenden (in Vollzeitäquivalenten): </v>
      </c>
      <c r="E310" s="454" t="s">
        <v>1842</v>
      </c>
      <c r="F310" s="454" t="s">
        <v>1843</v>
      </c>
      <c r="G310" s="460" t="s">
        <v>1844</v>
      </c>
      <c r="H310" s="454" t="s">
        <v>1845</v>
      </c>
      <c r="I310" s="454" t="str">
        <f t="shared" si="12"/>
        <v xml:space="preserve">[fr]Anzahl der Mitarbeitenden (in Vollzeitäquivalenten): </v>
      </c>
      <c r="J310" s="454" t="str">
        <f t="shared" si="13"/>
        <v xml:space="preserve">[pt]Anzahl der Mitarbeitenden (in Vollzeitäquivalenten): </v>
      </c>
      <c r="K310" s="454" t="str">
        <f t="shared" si="14"/>
        <v xml:space="preserve">[gr]Anzahl der Mitarbeitenden (in Vollzeitäquivalenten): </v>
      </c>
    </row>
    <row r="311" spans="4:11" ht="28.5" customHeight="1">
      <c r="D311" s="453" t="str">
        <f t="shared" si="15"/>
        <v>Personalkosten (brutto ohne Dienstgeberanteil)</v>
      </c>
      <c r="E311" s="454" t="s">
        <v>1846</v>
      </c>
      <c r="F311" s="454" t="s">
        <v>1847</v>
      </c>
      <c r="G311" s="460" t="s">
        <v>1848</v>
      </c>
      <c r="H311" s="454" t="s">
        <v>1849</v>
      </c>
      <c r="I311" s="454" t="str">
        <f t="shared" si="12"/>
        <v>[fr]Personalkosten (brutto ohne Dienstgeberanteil)</v>
      </c>
      <c r="J311" s="454" t="str">
        <f t="shared" si="13"/>
        <v>[pt]Personalkosten (brutto ohne Dienstgeberanteil)</v>
      </c>
      <c r="K311" s="454" t="str">
        <f t="shared" si="14"/>
        <v>[gr]Personalkosten (brutto ohne Dienstgeberanteil)</v>
      </c>
    </row>
    <row r="312" spans="4:11" ht="41.85" customHeight="1">
      <c r="D312" s="453" t="str">
        <f t="shared" si="15"/>
        <v>Tragen Sie bitte nachstehend jene drei Länder und Regionen ein, wo die meisten Mitarbeitenden arbeiten</v>
      </c>
      <c r="E312" s="459" t="s">
        <v>1850</v>
      </c>
      <c r="F312" s="454" t="s">
        <v>1851</v>
      </c>
      <c r="G312" s="460" t="s">
        <v>1852</v>
      </c>
      <c r="H312" s="454" t="s">
        <v>1853</v>
      </c>
      <c r="I312" s="454" t="str">
        <f t="shared" si="12"/>
        <v>[fr]Tragen Sie bitte nachstehend jene drei Länder und Regionen ein, wo die meisten Mitarbeitenden arbeiten</v>
      </c>
      <c r="J312" s="454" t="str">
        <f t="shared" si="13"/>
        <v>[pt]Tragen Sie bitte nachstehend jene drei Länder und Regionen ein, wo die meisten Mitarbeitenden arbeiten</v>
      </c>
      <c r="K312" s="454" t="str">
        <f t="shared" si="14"/>
        <v>[gr]Tragen Sie bitte nachstehend jene drei Länder und Regionen ein, wo die meisten Mitarbeitenden arbeiten</v>
      </c>
    </row>
    <row r="313" spans="4:11" ht="15.75" customHeight="1">
      <c r="D313" s="453" t="str">
        <f t="shared" si="15"/>
        <v>Land &amp; Region</v>
      </c>
      <c r="E313" s="454" t="s">
        <v>1854</v>
      </c>
      <c r="F313" s="454" t="s">
        <v>1855</v>
      </c>
      <c r="G313" s="460" t="s">
        <v>1856</v>
      </c>
      <c r="H313" s="454" t="s">
        <v>1857</v>
      </c>
      <c r="I313" s="454" t="str">
        <f t="shared" si="12"/>
        <v>[fr]Land &amp; Region</v>
      </c>
      <c r="J313" s="454" t="str">
        <f t="shared" si="13"/>
        <v>[pt]Land &amp; Region</v>
      </c>
      <c r="K313" s="454" t="str">
        <f t="shared" si="14"/>
        <v>[gr]Land &amp; Region</v>
      </c>
    </row>
    <row r="314" spans="4:11" ht="15.75" customHeight="1">
      <c r="D314" s="453" t="str">
        <f t="shared" si="15"/>
        <v xml:space="preserve">Anteil in % </v>
      </c>
      <c r="E314" s="454" t="s">
        <v>1858</v>
      </c>
      <c r="F314" s="454" t="s">
        <v>1859</v>
      </c>
      <c r="G314" s="460" t="s">
        <v>1860</v>
      </c>
      <c r="H314" s="454" t="s">
        <v>1861</v>
      </c>
      <c r="I314" s="454" t="str">
        <f t="shared" si="12"/>
        <v xml:space="preserve">[fr]Anteil in % </v>
      </c>
      <c r="J314" s="454" t="str">
        <f t="shared" si="13"/>
        <v xml:space="preserve">[pt]Anteil in % </v>
      </c>
      <c r="K314" s="454" t="str">
        <f t="shared" si="14"/>
        <v xml:space="preserve">[gr]Anteil in % </v>
      </c>
    </row>
    <row r="315" spans="4:11" ht="28.5" customHeight="1">
      <c r="D315" s="453" t="str">
        <f t="shared" si="15"/>
        <v>Durchschnittlicher Arbeitsweg der Mitarbeitenden (in km):</v>
      </c>
      <c r="E315" s="454" t="s">
        <v>1862</v>
      </c>
      <c r="F315" s="454" t="s">
        <v>1863</v>
      </c>
      <c r="G315" s="460" t="s">
        <v>1864</v>
      </c>
      <c r="H315" s="454" t="s">
        <v>1865</v>
      </c>
      <c r="I315" s="454" t="str">
        <f t="shared" si="12"/>
        <v>[fr]Durchschnittlicher Arbeitsweg der Mitarbeitenden (in km):</v>
      </c>
      <c r="J315" s="454" t="str">
        <f t="shared" si="13"/>
        <v>[pt]Durchschnittlicher Arbeitsweg der Mitarbeitenden (in km):</v>
      </c>
      <c r="K315" s="454" t="str">
        <f t="shared" si="14"/>
        <v>[gr]Durchschnittlicher Arbeitsweg der Mitarbeitenden (in km):</v>
      </c>
    </row>
    <row r="316" spans="4:11" ht="29.25" customHeight="1">
      <c r="D316" s="453" t="str">
        <f t="shared" si="15"/>
        <v>Gibt es eine Kantine für die Mehrheit der Mitarbeitenden?</v>
      </c>
      <c r="E316" s="454" t="s">
        <v>1866</v>
      </c>
      <c r="F316" s="454" t="s">
        <v>1867</v>
      </c>
      <c r="G316" s="460" t="s">
        <v>1868</v>
      </c>
      <c r="H316" s="454" t="s">
        <v>1869</v>
      </c>
      <c r="I316" s="454" t="str">
        <f t="shared" si="12"/>
        <v>[fr]Gibt es eine Kantine für die Mehrheit der Mitarbeitenden?</v>
      </c>
      <c r="J316" s="454" t="str">
        <f t="shared" si="13"/>
        <v>[pt]Gibt es eine Kantine für die Mehrheit der Mitarbeitenden?</v>
      </c>
      <c r="K316" s="454" t="str">
        <f t="shared" si="14"/>
        <v>[gr]Gibt es eine Kantine für die Mehrheit der Mitarbeitenden?</v>
      </c>
    </row>
    <row r="317" spans="4:11" ht="15.75" customHeight="1">
      <c r="D317" s="453" t="str">
        <f t="shared" si="15"/>
        <v>Umsatz (in Euro)</v>
      </c>
      <c r="E317" s="454" t="s">
        <v>1870</v>
      </c>
      <c r="F317" s="454" t="s">
        <v>1871</v>
      </c>
      <c r="G317" s="460" t="s">
        <v>1872</v>
      </c>
      <c r="H317" s="454" t="s">
        <v>1873</v>
      </c>
      <c r="I317" s="454" t="str">
        <f t="shared" si="12"/>
        <v>[fr]Umsatz (in Euro)</v>
      </c>
      <c r="J317" s="454" t="str">
        <f t="shared" si="13"/>
        <v>[pt]Umsatz (in Euro)</v>
      </c>
      <c r="K317" s="454" t="str">
        <f t="shared" si="14"/>
        <v>[gr]Umsatz (in Euro)</v>
      </c>
    </row>
    <row r="318" spans="4:11" ht="28.5" customHeight="1">
      <c r="D318" s="453" t="str">
        <f t="shared" si="15"/>
        <v>Haben Sie nahezu ausschließlich Unternehmen als Kunden</v>
      </c>
      <c r="E318" s="454" t="s">
        <v>1874</v>
      </c>
      <c r="F318" s="454" t="s">
        <v>1875</v>
      </c>
      <c r="G318" s="460" t="s">
        <v>1876</v>
      </c>
      <c r="H318" s="454" t="s">
        <v>1877</v>
      </c>
      <c r="I318" s="454" t="str">
        <f t="shared" si="12"/>
        <v>[fr]Haben Sie nahezu ausschließlich Unternehmen als Kunden</v>
      </c>
      <c r="J318" s="454" t="str">
        <f t="shared" si="13"/>
        <v>[pt]Haben Sie nahezu ausschließlich Unternehmen als Kunden</v>
      </c>
      <c r="K318" s="454" t="str">
        <f t="shared" si="14"/>
        <v>[gr]Haben Sie nahezu ausschließlich Unternehmen als Kunden</v>
      </c>
    </row>
    <row r="319" spans="4:11" ht="41.85" customHeight="1">
      <c r="D319" s="453" t="str">
        <f t="shared" si="15"/>
        <v>Tragen Sie nachstehend, bitte die 3 wichtigsten Branchen ein, in denen Ihr Unternehmen tätig ist, inklusive ungefährem Umsatzanteil</v>
      </c>
      <c r="E319" s="454" t="s">
        <v>1878</v>
      </c>
      <c r="F319" s="454" t="s">
        <v>1879</v>
      </c>
      <c r="G319" s="460" t="s">
        <v>1880</v>
      </c>
      <c r="H319" s="454" t="s">
        <v>1881</v>
      </c>
      <c r="I319" s="454" t="str">
        <f t="shared" si="12"/>
        <v>[fr]Tragen Sie nachstehend, bitte die 3 wichtigsten Branchen ein, in denen Ihr Unternehmen tätig ist, inklusive ungefährem Umsatzanteil</v>
      </c>
      <c r="J319" s="454" t="str">
        <f t="shared" si="13"/>
        <v>[pt]Tragen Sie nachstehend, bitte die 3 wichtigsten Branchen ein, in denen Ihr Unternehmen tätig ist, inklusive ungefährem Umsatzanteil</v>
      </c>
      <c r="K319" s="454" t="str">
        <f t="shared" si="14"/>
        <v>[gr]Tragen Sie nachstehend, bitte die 3 wichtigsten Branchen ein, in denen Ihr Unternehmen tätig ist, inklusive ungefährem Umsatzanteil</v>
      </c>
    </row>
    <row r="320" spans="4:11" ht="15.75" customHeight="1">
      <c r="D320" s="453" t="str">
        <f t="shared" si="15"/>
        <v>Branche</v>
      </c>
      <c r="E320" s="454" t="s">
        <v>1799</v>
      </c>
      <c r="F320" s="454" t="s">
        <v>1800</v>
      </c>
      <c r="G320" s="460" t="s">
        <v>1801</v>
      </c>
      <c r="H320" s="454" t="s">
        <v>1802</v>
      </c>
      <c r="I320" s="454" t="str">
        <f t="shared" si="12"/>
        <v>[fr]Branche</v>
      </c>
      <c r="J320" s="454" t="str">
        <f t="shared" si="13"/>
        <v>[pt]Branche</v>
      </c>
      <c r="K320" s="454" t="str">
        <f t="shared" si="14"/>
        <v>[gr]Branche</v>
      </c>
    </row>
    <row r="321" spans="4:11" ht="15.75" customHeight="1">
      <c r="D321" s="453" t="str">
        <f t="shared" si="15"/>
        <v>Beschreibung</v>
      </c>
      <c r="E321" s="454" t="s">
        <v>1803</v>
      </c>
      <c r="F321" s="454" t="s">
        <v>1882</v>
      </c>
      <c r="G321" s="460" t="s">
        <v>1804</v>
      </c>
      <c r="H321" s="454" t="s">
        <v>1805</v>
      </c>
      <c r="I321" s="454" t="str">
        <f t="shared" si="12"/>
        <v>[fr]Beschreibung</v>
      </c>
      <c r="J321" s="454" t="str">
        <f t="shared" si="13"/>
        <v>[pt]Beschreibung</v>
      </c>
      <c r="K321" s="454" t="str">
        <f t="shared" si="14"/>
        <v>[gr]Beschreibung</v>
      </c>
    </row>
    <row r="322" spans="4:11" ht="15.75" customHeight="1">
      <c r="D322" s="453" t="str">
        <f t="shared" si="15"/>
        <v>% Anteil am Gesamtumsatz</v>
      </c>
      <c r="E322" s="454" t="s">
        <v>1883</v>
      </c>
      <c r="F322" s="454" t="s">
        <v>1884</v>
      </c>
      <c r="G322" s="460" t="s">
        <v>1885</v>
      </c>
      <c r="H322" s="454" t="s">
        <v>1886</v>
      </c>
      <c r="I322" s="454" t="str">
        <f t="shared" si="12"/>
        <v>[fr]% Anteil am Gesamtumsatz</v>
      </c>
      <c r="J322" s="454" t="str">
        <f t="shared" si="13"/>
        <v>[pt]% Anteil am Gesamtumsatz</v>
      </c>
      <c r="K322" s="454" t="str">
        <f t="shared" si="14"/>
        <v>[gr]% Anteil am Gesamtumsatz</v>
      </c>
    </row>
    <row r="323" spans="4:11" ht="15.75" customHeight="1">
      <c r="D323" s="453" t="str">
        <f t="shared" si="15"/>
        <v xml:space="preserve">Unternehmensgrösse </v>
      </c>
      <c r="E323" s="454" t="s">
        <v>1887</v>
      </c>
      <c r="F323" s="454" t="s">
        <v>1888</v>
      </c>
      <c r="G323" s="460" t="s">
        <v>1889</v>
      </c>
      <c r="H323" s="454" t="s">
        <v>1890</v>
      </c>
      <c r="I323" s="454" t="str">
        <f t="shared" si="12"/>
        <v xml:space="preserve">[fr]Unternehmensgrösse </v>
      </c>
      <c r="J323" s="454" t="str">
        <f t="shared" si="13"/>
        <v xml:space="preserve">[pt]Unternehmensgrösse </v>
      </c>
      <c r="K323" s="454" t="str">
        <f t="shared" si="14"/>
        <v xml:space="preserve">[gr]Unternehmensgrösse </v>
      </c>
    </row>
    <row r="324" spans="4:11" ht="15.75" customHeight="1">
      <c r="D324" s="453" t="str">
        <f t="shared" si="15"/>
        <v>Kleinstunternehmen</v>
      </c>
      <c r="E324" s="454" t="s">
        <v>1891</v>
      </c>
      <c r="F324" s="454" t="s">
        <v>1892</v>
      </c>
      <c r="G324" s="460" t="s">
        <v>1893</v>
      </c>
      <c r="H324" s="454" t="s">
        <v>1894</v>
      </c>
      <c r="I324" s="454" t="str">
        <f t="shared" si="12"/>
        <v>[fr]Kleinstunternehmen</v>
      </c>
      <c r="J324" s="454" t="str">
        <f t="shared" si="13"/>
        <v>[pt]Kleinstunternehmen</v>
      </c>
      <c r="K324" s="454" t="str">
        <f t="shared" si="14"/>
        <v>[gr]Kleinstunternehmen</v>
      </c>
    </row>
    <row r="325" spans="4:11" ht="15.75" customHeight="1">
      <c r="D325" s="453" t="str">
        <f t="shared" si="15"/>
        <v>Kleinunternehmen</v>
      </c>
      <c r="E325" s="454" t="s">
        <v>1895</v>
      </c>
      <c r="F325" s="454" t="s">
        <v>1896</v>
      </c>
      <c r="G325" s="460" t="s">
        <v>1897</v>
      </c>
      <c r="H325" s="454" t="s">
        <v>1898</v>
      </c>
      <c r="I325" s="454" t="str">
        <f t="shared" si="12"/>
        <v>[fr]Kleinunternehmen</v>
      </c>
      <c r="J325" s="454" t="str">
        <f t="shared" si="13"/>
        <v>[pt]Kleinunternehmen</v>
      </c>
      <c r="K325" s="454" t="str">
        <f t="shared" si="14"/>
        <v>[gr]Kleinunternehmen</v>
      </c>
    </row>
    <row r="326" spans="4:11" ht="15.75" customHeight="1">
      <c r="D326" s="453" t="str">
        <f t="shared" si="15"/>
        <v>Mittleres Unternehmen</v>
      </c>
      <c r="E326" s="454" t="s">
        <v>1899</v>
      </c>
      <c r="F326" s="454" t="s">
        <v>1900</v>
      </c>
      <c r="G326" s="460" t="s">
        <v>1901</v>
      </c>
      <c r="H326" s="454" t="s">
        <v>1902</v>
      </c>
      <c r="I326" s="454" t="str">
        <f t="shared" si="12"/>
        <v>[fr]Mittleres Unternehmen</v>
      </c>
      <c r="J326" s="454" t="str">
        <f t="shared" si="13"/>
        <v>[pt]Mittleres Unternehmen</v>
      </c>
      <c r="K326" s="454" t="str">
        <f t="shared" si="14"/>
        <v>[gr]Mittleres Unternehmen</v>
      </c>
    </row>
    <row r="327" spans="4:11" ht="15.75" customHeight="1">
      <c r="D327" s="453" t="str">
        <f t="shared" si="15"/>
        <v>Grossunternehmen</v>
      </c>
      <c r="E327" s="454" t="s">
        <v>1903</v>
      </c>
      <c r="F327" s="454" t="s">
        <v>1904</v>
      </c>
      <c r="G327" s="460" t="s">
        <v>1905</v>
      </c>
      <c r="H327" s="454" t="s">
        <v>1906</v>
      </c>
      <c r="I327" s="454" t="str">
        <f t="shared" si="12"/>
        <v>[fr]Grossunternehmen</v>
      </c>
      <c r="J327" s="454" t="str">
        <f t="shared" si="13"/>
        <v>[pt]Grossunternehmen</v>
      </c>
      <c r="K327" s="454" t="str">
        <f t="shared" si="14"/>
        <v>[gr]Grossunternehmen</v>
      </c>
    </row>
    <row r="328" spans="4:11" ht="28.5" customHeight="1">
      <c r="D328" s="453" t="str">
        <f t="shared" si="15"/>
        <v xml:space="preserve">In diesem Tabellenblatt wird die Gemeinwohlbilanz berechnet. </v>
      </c>
      <c r="E328" s="459" t="s">
        <v>1907</v>
      </c>
      <c r="F328" s="454" t="s">
        <v>1908</v>
      </c>
      <c r="G328" s="454" t="str">
        <f>"[en]"&amp;E328</f>
        <v xml:space="preserve">[en]In diesem Tabellenblatt wird die Gemeinwohlbilanz berechnet. </v>
      </c>
      <c r="H328" s="454" t="s">
        <v>1909</v>
      </c>
      <c r="I328" s="454" t="str">
        <f t="shared" si="12"/>
        <v xml:space="preserve">[fr]In diesem Tabellenblatt wird die Gemeinwohlbilanz berechnet. </v>
      </c>
      <c r="J328" s="454" t="str">
        <f t="shared" si="13"/>
        <v xml:space="preserve">[pt]In diesem Tabellenblatt wird die Gemeinwohlbilanz berechnet. </v>
      </c>
      <c r="K328" s="454" t="str">
        <f t="shared" si="14"/>
        <v xml:space="preserve">[gr]In diesem Tabellenblatt wird die Gemeinwohlbilanz berechnet. </v>
      </c>
    </row>
    <row r="329" spans="4:11" ht="28.5" customHeight="1">
      <c r="D329" s="453" t="str">
        <f t="shared" si="15"/>
        <v>Skalenwert eingeben: Wert muss im Bereich von 0 bis 10 liegen.</v>
      </c>
      <c r="E329" s="459" t="s">
        <v>1910</v>
      </c>
      <c r="F329" s="521" t="s">
        <v>1911</v>
      </c>
      <c r="G329" s="470" t="s">
        <v>3195</v>
      </c>
      <c r="H329" s="454" t="s">
        <v>1912</v>
      </c>
      <c r="I329" s="454" t="str">
        <f t="shared" si="12"/>
        <v>[fr]Skalenwert eingeben: Wert muss im Bereich von 0 bis 10 liegen.</v>
      </c>
      <c r="J329" s="454" t="str">
        <f t="shared" si="13"/>
        <v>[pt]Skalenwert eingeben: Wert muss im Bereich von 0 bis 10 liegen.</v>
      </c>
      <c r="K329" s="454" t="str">
        <f t="shared" si="14"/>
        <v>[gr]Skalenwert eingeben: Wert muss im Bereich von 0 bis 10 liegen.</v>
      </c>
    </row>
    <row r="330" spans="4:11" ht="28.5" customHeight="1">
      <c r="D330" s="453" t="str">
        <f t="shared" si="15"/>
        <v>Negativpunkte eingeben: Werte müssen im Bereich von -200 bis 0 liegen.</v>
      </c>
      <c r="E330" s="459" t="s">
        <v>1913</v>
      </c>
      <c r="F330" s="521" t="s">
        <v>1914</v>
      </c>
      <c r="G330" s="470" t="s">
        <v>3196</v>
      </c>
      <c r="H330" s="454" t="s">
        <v>1915</v>
      </c>
      <c r="I330" s="454" t="str">
        <f t="shared" si="12"/>
        <v>[fr]Negativpunkte eingeben: Werte müssen im Bereich von -200 bis 0 liegen.</v>
      </c>
      <c r="J330" s="454" t="str">
        <f t="shared" si="13"/>
        <v>[pt]Negativpunkte eingeben: Werte müssen im Bereich von -200 bis 0 liegen.</v>
      </c>
      <c r="K330" s="454" t="str">
        <f t="shared" si="14"/>
        <v>[gr]Negativpunkte eingeben: Werte müssen im Bereich von -200 bis 0 liegen.</v>
      </c>
    </row>
    <row r="331" spans="4:11" ht="15.75" customHeight="1">
      <c r="D331" s="453" t="str">
        <f t="shared" si="15"/>
        <v>globaler Durchschnitt</v>
      </c>
      <c r="E331" s="522" t="s">
        <v>1916</v>
      </c>
      <c r="F331" s="454" t="s">
        <v>1917</v>
      </c>
      <c r="G331" s="460" t="str">
        <f>"[en]"&amp;E331</f>
        <v>[en]globaler Durchschnitt</v>
      </c>
      <c r="H331" s="454" t="s">
        <v>1918</v>
      </c>
      <c r="I331" s="454" t="str">
        <f t="shared" si="12"/>
        <v>[fr]globaler Durchschnitt</v>
      </c>
      <c r="J331" s="454" t="str">
        <f t="shared" si="13"/>
        <v>[pt]globaler Durchschnitt</v>
      </c>
      <c r="K331" s="454" t="str">
        <f t="shared" si="14"/>
        <v>[gr]globaler Durchschnitt</v>
      </c>
    </row>
    <row r="332" spans="4:11" ht="15.75" customHeight="1">
      <c r="D332" s="453" t="str">
        <f t="shared" si="15"/>
        <v>Bitte auswählen</v>
      </c>
      <c r="E332" s="522" t="s">
        <v>1919</v>
      </c>
      <c r="F332" s="454" t="s">
        <v>1471</v>
      </c>
      <c r="G332" s="460" t="s">
        <v>1472</v>
      </c>
      <c r="H332" s="454" t="s">
        <v>1920</v>
      </c>
      <c r="I332" s="454" t="str">
        <f t="shared" si="12"/>
        <v>[fr]Bitte auswählen</v>
      </c>
      <c r="J332" s="454" t="str">
        <f t="shared" si="13"/>
        <v>[pt]Bitte auswählen</v>
      </c>
      <c r="K332" s="454" t="str">
        <f t="shared" si="14"/>
        <v>[gr]Bitte auswählen</v>
      </c>
    </row>
    <row r="333" spans="4:11" ht="16.350000000000001" customHeight="1">
      <c r="D333" s="453" t="str">
        <f t="shared" si="15"/>
        <v>Afrika</v>
      </c>
      <c r="E333" s="522" t="s">
        <v>1921</v>
      </c>
      <c r="F333" s="454" t="s">
        <v>251</v>
      </c>
      <c r="G333" s="460" t="str">
        <f t="shared" ref="G333:G338" si="16">"[en]"&amp;E333</f>
        <v>[en]Afrika</v>
      </c>
      <c r="H333" s="454" t="s">
        <v>1922</v>
      </c>
      <c r="I333" s="454" t="str">
        <f t="shared" si="12"/>
        <v>[fr]Afrika</v>
      </c>
      <c r="J333" s="454" t="str">
        <f t="shared" si="13"/>
        <v>[pt]Afrika</v>
      </c>
      <c r="K333" s="454" t="str">
        <f t="shared" si="14"/>
        <v>[gr]Afrika</v>
      </c>
    </row>
    <row r="334" spans="4:11" ht="16.350000000000001" customHeight="1">
      <c r="D334" s="453" t="str">
        <f t="shared" si="15"/>
        <v>Nord-Afrika und Mittlere Osten</v>
      </c>
      <c r="E334" s="522" t="s">
        <v>1923</v>
      </c>
      <c r="F334" s="454" t="s">
        <v>1924</v>
      </c>
      <c r="G334" s="460" t="str">
        <f t="shared" si="16"/>
        <v>[en]Nord-Afrika und Mittlere Osten</v>
      </c>
      <c r="H334" s="454" t="s">
        <v>1925</v>
      </c>
      <c r="I334" s="454" t="str">
        <f t="shared" si="12"/>
        <v>[fr]Nord-Afrika und Mittlere Osten</v>
      </c>
      <c r="J334" s="454" t="str">
        <f t="shared" si="13"/>
        <v>[pt]Nord-Afrika und Mittlere Osten</v>
      </c>
      <c r="K334" s="454" t="str">
        <f t="shared" si="14"/>
        <v>[gr]Nord-Afrika und Mittlere Osten</v>
      </c>
    </row>
    <row r="335" spans="4:11" ht="16.350000000000001" customHeight="1">
      <c r="D335" s="453" t="str">
        <f t="shared" si="15"/>
        <v>Latein-Amerika</v>
      </c>
      <c r="E335" s="522" t="s">
        <v>1926</v>
      </c>
      <c r="F335" s="454" t="s">
        <v>1927</v>
      </c>
      <c r="G335" s="460" t="str">
        <f t="shared" si="16"/>
        <v>[en]Latein-Amerika</v>
      </c>
      <c r="H335" s="454" t="s">
        <v>1928</v>
      </c>
      <c r="I335" s="454" t="str">
        <f t="shared" si="12"/>
        <v>[fr]Latein-Amerika</v>
      </c>
      <c r="J335" s="454" t="str">
        <f t="shared" si="13"/>
        <v>[pt]Latein-Amerika</v>
      </c>
      <c r="K335" s="454" t="str">
        <f t="shared" si="14"/>
        <v>[gr]Latein-Amerika</v>
      </c>
    </row>
    <row r="336" spans="4:11" ht="16.350000000000001" customHeight="1">
      <c r="D336" s="453" t="str">
        <f t="shared" si="15"/>
        <v>Nord-Amerika &amp; Ozeanien</v>
      </c>
      <c r="E336" s="522" t="s">
        <v>1929</v>
      </c>
      <c r="F336" s="454" t="s">
        <v>1930</v>
      </c>
      <c r="G336" s="460" t="str">
        <f t="shared" si="16"/>
        <v>[en]Nord-Amerika &amp; Ozeanien</v>
      </c>
      <c r="H336" s="454" t="s">
        <v>1931</v>
      </c>
      <c r="I336" s="454" t="str">
        <f t="shared" si="12"/>
        <v>[fr]Nord-Amerika &amp; Ozeanien</v>
      </c>
      <c r="J336" s="454" t="str">
        <f t="shared" si="13"/>
        <v>[pt]Nord-Amerika &amp; Ozeanien</v>
      </c>
      <c r="K336" s="454" t="str">
        <f t="shared" si="14"/>
        <v>[gr]Nord-Amerika &amp; Ozeanien</v>
      </c>
    </row>
    <row r="337" spans="1:13" ht="16.350000000000001" customHeight="1">
      <c r="D337" s="453" t="str">
        <f t="shared" si="15"/>
        <v>Asien</v>
      </c>
      <c r="E337" s="522" t="s">
        <v>1932</v>
      </c>
      <c r="F337" s="454" t="s">
        <v>248</v>
      </c>
      <c r="G337" s="460" t="str">
        <f t="shared" si="16"/>
        <v>[en]Asien</v>
      </c>
      <c r="H337" s="454" t="s">
        <v>248</v>
      </c>
      <c r="I337" s="454" t="str">
        <f t="shared" si="12"/>
        <v>[fr]Asien</v>
      </c>
      <c r="J337" s="454" t="str">
        <f t="shared" si="13"/>
        <v>[pt]Asien</v>
      </c>
      <c r="K337" s="454" t="str">
        <f t="shared" si="14"/>
        <v>[gr]Asien</v>
      </c>
    </row>
    <row r="338" spans="1:13" ht="15.75" customHeight="1">
      <c r="D338" s="453" t="str">
        <f t="shared" si="15"/>
        <v>Europa</v>
      </c>
      <c r="E338" s="522" t="s">
        <v>1933</v>
      </c>
      <c r="F338" s="454" t="s">
        <v>1933</v>
      </c>
      <c r="G338" s="460" t="str">
        <f t="shared" si="16"/>
        <v>[en]Europa</v>
      </c>
      <c r="H338" s="454" t="s">
        <v>1933</v>
      </c>
      <c r="I338" s="454" t="str">
        <f t="shared" si="12"/>
        <v>[fr]Europa</v>
      </c>
      <c r="J338" s="454" t="str">
        <f t="shared" si="13"/>
        <v>[pt]Europa</v>
      </c>
      <c r="K338" s="454" t="str">
        <f t="shared" si="14"/>
        <v>[gr]Europa</v>
      </c>
    </row>
    <row r="339" spans="1:13" ht="15.75" customHeight="1">
      <c r="A339" s="523" t="s">
        <v>246</v>
      </c>
      <c r="B339" s="474" t="s">
        <v>1934</v>
      </c>
      <c r="C339" s="523" t="s">
        <v>1935</v>
      </c>
      <c r="D339" s="453" t="str">
        <f t="shared" ref="D339:D554" si="17">A339&amp;" "&amp;HLOOKUP($C$1,$E$1:$X$4910,ROW(D339))</f>
        <v>ABW Aruba</v>
      </c>
      <c r="E339" s="524" t="s">
        <v>243</v>
      </c>
      <c r="F339" s="454" t="s">
        <v>1936</v>
      </c>
      <c r="G339" s="460" t="s">
        <v>1936</v>
      </c>
      <c r="H339" s="454" t="s">
        <v>243</v>
      </c>
      <c r="I339" s="454" t="s">
        <v>243</v>
      </c>
      <c r="J339" s="454" t="str">
        <f t="shared" si="13"/>
        <v>[pt]Aruba</v>
      </c>
      <c r="K339" s="454" t="str">
        <f t="shared" si="14"/>
        <v>[gr]Aruba</v>
      </c>
      <c r="L339" s="525" t="s">
        <v>246</v>
      </c>
      <c r="M339" s="455" t="str">
        <f t="shared" ref="M339:M561" si="18">IF(L339=A339,"","nix")</f>
        <v/>
      </c>
    </row>
    <row r="340" spans="1:13" ht="15.75" customHeight="1">
      <c r="A340" s="523" t="s">
        <v>249</v>
      </c>
      <c r="B340" s="474" t="s">
        <v>1937</v>
      </c>
      <c r="C340" s="523" t="s">
        <v>1938</v>
      </c>
      <c r="D340" s="453" t="str">
        <f t="shared" si="17"/>
        <v>AFG Afghanistan</v>
      </c>
      <c r="E340" s="524" t="s">
        <v>247</v>
      </c>
      <c r="F340" s="454" t="s">
        <v>1939</v>
      </c>
      <c r="G340" s="460" t="s">
        <v>1939</v>
      </c>
      <c r="H340" s="454" t="s">
        <v>1940</v>
      </c>
      <c r="I340" s="454" t="s">
        <v>247</v>
      </c>
      <c r="J340" s="454" t="str">
        <f t="shared" si="13"/>
        <v>[pt]Afghanistan</v>
      </c>
      <c r="K340" s="454" t="str">
        <f t="shared" si="14"/>
        <v>[gr]Afghanistan</v>
      </c>
      <c r="L340" s="525" t="s">
        <v>249</v>
      </c>
      <c r="M340" s="455" t="str">
        <f t="shared" si="18"/>
        <v/>
      </c>
    </row>
    <row r="341" spans="1:13" ht="15.75" customHeight="1">
      <c r="A341" s="523" t="s">
        <v>252</v>
      </c>
      <c r="B341" s="474" t="s">
        <v>1941</v>
      </c>
      <c r="C341" s="523" t="s">
        <v>1942</v>
      </c>
      <c r="D341" s="453" t="str">
        <f t="shared" si="17"/>
        <v>AGO Angola</v>
      </c>
      <c r="E341" s="524" t="s">
        <v>250</v>
      </c>
      <c r="F341" s="454" t="s">
        <v>1943</v>
      </c>
      <c r="G341" s="460" t="s">
        <v>1943</v>
      </c>
      <c r="H341" s="454" t="s">
        <v>250</v>
      </c>
      <c r="I341" s="454" t="s">
        <v>250</v>
      </c>
      <c r="J341" s="454" t="str">
        <f t="shared" si="13"/>
        <v>[pt]Angola</v>
      </c>
      <c r="K341" s="454" t="str">
        <f t="shared" si="14"/>
        <v>[gr]Angola</v>
      </c>
      <c r="L341" s="525" t="s">
        <v>252</v>
      </c>
      <c r="M341" s="455" t="str">
        <f t="shared" si="18"/>
        <v/>
      </c>
    </row>
    <row r="342" spans="1:13" ht="15.75" customHeight="1">
      <c r="A342" s="523" t="s">
        <v>255</v>
      </c>
      <c r="B342" s="474" t="s">
        <v>1944</v>
      </c>
      <c r="C342" s="523" t="s">
        <v>1945</v>
      </c>
      <c r="D342" s="453" t="str">
        <f t="shared" si="17"/>
        <v>ALB Albanien</v>
      </c>
      <c r="E342" s="524" t="s">
        <v>1946</v>
      </c>
      <c r="F342" s="454" t="s">
        <v>1947</v>
      </c>
      <c r="G342" s="460" t="s">
        <v>1947</v>
      </c>
      <c r="H342" s="454" t="s">
        <v>253</v>
      </c>
      <c r="I342" s="454" t="s">
        <v>1948</v>
      </c>
      <c r="J342" s="454" t="str">
        <f t="shared" si="13"/>
        <v>[pt]Albanien</v>
      </c>
      <c r="K342" s="454" t="str">
        <f t="shared" si="14"/>
        <v>[gr]Albanien</v>
      </c>
      <c r="L342" s="525" t="s">
        <v>255</v>
      </c>
      <c r="M342" s="455" t="str">
        <f t="shared" si="18"/>
        <v/>
      </c>
    </row>
    <row r="343" spans="1:13" ht="15.75" customHeight="1">
      <c r="A343" s="523" t="s">
        <v>257</v>
      </c>
      <c r="B343" s="474" t="s">
        <v>1949</v>
      </c>
      <c r="C343" s="523" t="s">
        <v>1950</v>
      </c>
      <c r="D343" s="453" t="str">
        <f t="shared" si="17"/>
        <v>AND Andorra</v>
      </c>
      <c r="E343" s="524" t="s">
        <v>256</v>
      </c>
      <c r="F343" s="454" t="s">
        <v>1951</v>
      </c>
      <c r="G343" s="460" t="s">
        <v>1951</v>
      </c>
      <c r="H343" s="454" t="s">
        <v>256</v>
      </c>
      <c r="I343" s="454" t="s">
        <v>1952</v>
      </c>
      <c r="J343" s="454" t="str">
        <f t="shared" si="13"/>
        <v>[pt]Andorra</v>
      </c>
      <c r="K343" s="454" t="str">
        <f t="shared" si="14"/>
        <v>[gr]Andorra</v>
      </c>
      <c r="L343" s="525" t="s">
        <v>257</v>
      </c>
      <c r="M343" s="455" t="str">
        <f t="shared" si="18"/>
        <v/>
      </c>
    </row>
    <row r="344" spans="1:13" ht="15.75" customHeight="1">
      <c r="A344" s="523" t="s">
        <v>259</v>
      </c>
      <c r="B344" s="474" t="s">
        <v>1953</v>
      </c>
      <c r="C344" s="523" t="s">
        <v>1954</v>
      </c>
      <c r="D344" s="453" t="str">
        <f t="shared" si="17"/>
        <v>ARE Vereinigte Arabische Emirate</v>
      </c>
      <c r="E344" s="524" t="s">
        <v>1955</v>
      </c>
      <c r="F344" s="454" t="s">
        <v>1956</v>
      </c>
      <c r="G344" s="460" t="s">
        <v>1957</v>
      </c>
      <c r="H344" s="454" t="s">
        <v>1958</v>
      </c>
      <c r="I344" s="454" t="s">
        <v>1959</v>
      </c>
      <c r="J344" s="454" t="str">
        <f t="shared" si="13"/>
        <v>[pt]Vereinigte Arabische Emirate</v>
      </c>
      <c r="K344" s="454" t="str">
        <f t="shared" si="14"/>
        <v>[gr]Vereinigte Arabische Emirate</v>
      </c>
      <c r="L344" s="525" t="s">
        <v>259</v>
      </c>
      <c r="M344" s="455" t="str">
        <f t="shared" si="18"/>
        <v/>
      </c>
    </row>
    <row r="345" spans="1:13" ht="15.75" customHeight="1">
      <c r="A345" s="523" t="s">
        <v>261</v>
      </c>
      <c r="B345" s="474" t="s">
        <v>1960</v>
      </c>
      <c r="C345" s="523" t="s">
        <v>1961</v>
      </c>
      <c r="D345" s="453" t="str">
        <f t="shared" si="17"/>
        <v>ARG Argentinien</v>
      </c>
      <c r="E345" s="524" t="s">
        <v>1962</v>
      </c>
      <c r="F345" s="454" t="s">
        <v>1963</v>
      </c>
      <c r="G345" s="460" t="s">
        <v>1963</v>
      </c>
      <c r="H345" s="454" t="s">
        <v>260</v>
      </c>
      <c r="I345" s="454" t="s">
        <v>1964</v>
      </c>
      <c r="J345" s="454" t="str">
        <f t="shared" si="13"/>
        <v>[pt]Argentinien</v>
      </c>
      <c r="K345" s="454" t="str">
        <f t="shared" si="14"/>
        <v>[gr]Argentinien</v>
      </c>
      <c r="L345" s="525" t="s">
        <v>261</v>
      </c>
      <c r="M345" s="455" t="str">
        <f t="shared" si="18"/>
        <v/>
      </c>
    </row>
    <row r="346" spans="1:13" ht="15.75" customHeight="1">
      <c r="A346" s="523" t="s">
        <v>263</v>
      </c>
      <c r="B346" s="474" t="s">
        <v>1965</v>
      </c>
      <c r="C346" s="523" t="s">
        <v>1966</v>
      </c>
      <c r="D346" s="453" t="str">
        <f t="shared" si="17"/>
        <v>ARM Armenien</v>
      </c>
      <c r="E346" s="524" t="s">
        <v>1967</v>
      </c>
      <c r="F346" s="454" t="s">
        <v>1968</v>
      </c>
      <c r="G346" s="460" t="s">
        <v>1968</v>
      </c>
      <c r="H346" s="454" t="s">
        <v>262</v>
      </c>
      <c r="I346" s="454" t="s">
        <v>1969</v>
      </c>
      <c r="J346" s="454" t="str">
        <f t="shared" si="13"/>
        <v>[pt]Armenien</v>
      </c>
      <c r="K346" s="454" t="str">
        <f t="shared" si="14"/>
        <v>[gr]Armenien</v>
      </c>
      <c r="L346" s="525" t="s">
        <v>263</v>
      </c>
      <c r="M346" s="455" t="str">
        <f t="shared" si="18"/>
        <v/>
      </c>
    </row>
    <row r="347" spans="1:13" ht="15.75" customHeight="1">
      <c r="A347" s="523" t="s">
        <v>266</v>
      </c>
      <c r="B347" s="474" t="s">
        <v>1970</v>
      </c>
      <c r="C347" s="523" t="s">
        <v>1971</v>
      </c>
      <c r="D347" s="453" t="str">
        <f t="shared" si="17"/>
        <v>ASM Amerikanisch-Samoa</v>
      </c>
      <c r="E347" s="524" t="s">
        <v>1972</v>
      </c>
      <c r="F347" s="454" t="s">
        <v>1973</v>
      </c>
      <c r="G347" s="460" t="s">
        <v>1974</v>
      </c>
      <c r="H347" s="454" t="s">
        <v>1975</v>
      </c>
      <c r="I347" s="454" t="s">
        <v>1976</v>
      </c>
      <c r="J347" s="454" t="str">
        <f t="shared" si="13"/>
        <v>[pt]Amerikanisch-Samoa</v>
      </c>
      <c r="K347" s="454" t="str">
        <f t="shared" si="14"/>
        <v>[gr]Amerikanisch-Samoa</v>
      </c>
      <c r="L347" s="525" t="s">
        <v>266</v>
      </c>
      <c r="M347" s="455" t="str">
        <f t="shared" si="18"/>
        <v/>
      </c>
    </row>
    <row r="348" spans="1:13" ht="15.75" customHeight="1">
      <c r="A348" s="523" t="s">
        <v>268</v>
      </c>
      <c r="B348" s="474" t="s">
        <v>1977</v>
      </c>
      <c r="C348" s="523" t="s">
        <v>1978</v>
      </c>
      <c r="D348" s="453" t="str">
        <f t="shared" si="17"/>
        <v>ATG Antigua und Barbuda</v>
      </c>
      <c r="E348" s="524" t="s">
        <v>1979</v>
      </c>
      <c r="F348" s="454" t="s">
        <v>1980</v>
      </c>
      <c r="G348" s="460" t="s">
        <v>1981</v>
      </c>
      <c r="H348" s="454" t="s">
        <v>1982</v>
      </c>
      <c r="I348" s="454" t="s">
        <v>1983</v>
      </c>
      <c r="J348" s="454" t="str">
        <f t="shared" si="13"/>
        <v>[pt]Antigua und Barbuda</v>
      </c>
      <c r="K348" s="454" t="str">
        <f t="shared" si="14"/>
        <v>[gr]Antigua und Barbuda</v>
      </c>
      <c r="L348" s="525" t="s">
        <v>268</v>
      </c>
      <c r="M348" s="455" t="str">
        <f t="shared" si="18"/>
        <v/>
      </c>
    </row>
    <row r="349" spans="1:13" ht="15.75" customHeight="1">
      <c r="A349" s="523" t="s">
        <v>270</v>
      </c>
      <c r="B349" s="474" t="s">
        <v>1984</v>
      </c>
      <c r="C349" s="523" t="s">
        <v>1985</v>
      </c>
      <c r="D349" s="453" t="str">
        <f t="shared" si="17"/>
        <v>AUS Australien</v>
      </c>
      <c r="E349" s="524" t="s">
        <v>1986</v>
      </c>
      <c r="F349" s="454" t="s">
        <v>1987</v>
      </c>
      <c r="G349" s="460" t="s">
        <v>1987</v>
      </c>
      <c r="H349" s="454" t="s">
        <v>269</v>
      </c>
      <c r="I349" s="454" t="s">
        <v>1988</v>
      </c>
      <c r="J349" s="454" t="str">
        <f t="shared" si="13"/>
        <v>[pt]Australien</v>
      </c>
      <c r="K349" s="454" t="str">
        <f t="shared" si="14"/>
        <v>[gr]Australien</v>
      </c>
      <c r="L349" s="525" t="s">
        <v>270</v>
      </c>
      <c r="M349" s="455" t="str">
        <f t="shared" si="18"/>
        <v/>
      </c>
    </row>
    <row r="350" spans="1:13" ht="15.75" customHeight="1">
      <c r="A350" s="523" t="s">
        <v>272</v>
      </c>
      <c r="B350" s="474" t="s">
        <v>1989</v>
      </c>
      <c r="C350" s="523" t="s">
        <v>1990</v>
      </c>
      <c r="D350" s="453" t="str">
        <f t="shared" si="17"/>
        <v>AUT Österreich</v>
      </c>
      <c r="E350" s="524" t="s">
        <v>1991</v>
      </c>
      <c r="F350" s="454" t="s">
        <v>1992</v>
      </c>
      <c r="G350" s="460" t="s">
        <v>1992</v>
      </c>
      <c r="H350" s="454" t="s">
        <v>271</v>
      </c>
      <c r="I350" s="454" t="s">
        <v>1993</v>
      </c>
      <c r="J350" s="454" t="str">
        <f t="shared" si="13"/>
        <v>[pt]Österreich</v>
      </c>
      <c r="K350" s="454" t="str">
        <f t="shared" si="14"/>
        <v>[gr]Österreich</v>
      </c>
      <c r="L350" s="525" t="s">
        <v>272</v>
      </c>
      <c r="M350" s="455" t="str">
        <f t="shared" si="18"/>
        <v/>
      </c>
    </row>
    <row r="351" spans="1:13" ht="15.75" customHeight="1">
      <c r="A351" s="523" t="s">
        <v>274</v>
      </c>
      <c r="B351" s="474" t="s">
        <v>1994</v>
      </c>
      <c r="C351" s="523" t="s">
        <v>1995</v>
      </c>
      <c r="D351" s="453" t="str">
        <f t="shared" si="17"/>
        <v>AZE Aserbaidschan</v>
      </c>
      <c r="E351" s="524" t="s">
        <v>1996</v>
      </c>
      <c r="F351" s="454" t="s">
        <v>1997</v>
      </c>
      <c r="G351" s="460" t="s">
        <v>1998</v>
      </c>
      <c r="H351" s="454" t="s">
        <v>1999</v>
      </c>
      <c r="I351" s="454" t="s">
        <v>2000</v>
      </c>
      <c r="J351" s="454" t="str">
        <f t="shared" si="13"/>
        <v>[pt]Aserbaidschan</v>
      </c>
      <c r="K351" s="454" t="str">
        <f t="shared" si="14"/>
        <v>[gr]Aserbaidschan</v>
      </c>
      <c r="L351" s="525" t="s">
        <v>274</v>
      </c>
      <c r="M351" s="455" t="str">
        <f t="shared" si="18"/>
        <v/>
      </c>
    </row>
    <row r="352" spans="1:13" ht="15.75" customHeight="1">
      <c r="A352" s="523" t="s">
        <v>276</v>
      </c>
      <c r="B352" s="474" t="s">
        <v>2001</v>
      </c>
      <c r="C352" s="523" t="s">
        <v>2002</v>
      </c>
      <c r="D352" s="453" t="str">
        <f t="shared" si="17"/>
        <v>BDI Burundi</v>
      </c>
      <c r="E352" s="524" t="s">
        <v>275</v>
      </c>
      <c r="F352" s="454" t="s">
        <v>2003</v>
      </c>
      <c r="G352" s="460" t="s">
        <v>2003</v>
      </c>
      <c r="H352" s="454" t="s">
        <v>275</v>
      </c>
      <c r="I352" s="454" t="s">
        <v>275</v>
      </c>
      <c r="J352" s="454" t="str">
        <f t="shared" si="13"/>
        <v>[pt]Burundi</v>
      </c>
      <c r="K352" s="454" t="str">
        <f t="shared" si="14"/>
        <v>[gr]Burundi</v>
      </c>
      <c r="L352" s="525" t="s">
        <v>276</v>
      </c>
      <c r="M352" s="455" t="str">
        <f t="shared" si="18"/>
        <v/>
      </c>
    </row>
    <row r="353" spans="1:13" ht="15.75" customHeight="1">
      <c r="A353" s="523" t="s">
        <v>278</v>
      </c>
      <c r="B353" s="474" t="s">
        <v>2004</v>
      </c>
      <c r="C353" s="523" t="s">
        <v>2005</v>
      </c>
      <c r="D353" s="453" t="str">
        <f t="shared" si="17"/>
        <v>BEL Belgien</v>
      </c>
      <c r="E353" s="524" t="s">
        <v>2006</v>
      </c>
      <c r="F353" s="454" t="s">
        <v>2007</v>
      </c>
      <c r="G353" s="460" t="s">
        <v>2008</v>
      </c>
      <c r="H353" s="454" t="s">
        <v>2009</v>
      </c>
      <c r="I353" s="454" t="s">
        <v>2010</v>
      </c>
      <c r="J353" s="454" t="str">
        <f t="shared" si="13"/>
        <v>[pt]Belgien</v>
      </c>
      <c r="K353" s="454" t="str">
        <f t="shared" si="14"/>
        <v>[gr]Belgien</v>
      </c>
      <c r="L353" s="525" t="s">
        <v>278</v>
      </c>
      <c r="M353" s="455" t="str">
        <f t="shared" si="18"/>
        <v/>
      </c>
    </row>
    <row r="354" spans="1:13" ht="15.75" customHeight="1">
      <c r="A354" s="523" t="s">
        <v>280</v>
      </c>
      <c r="B354" s="474" t="s">
        <v>2011</v>
      </c>
      <c r="C354" s="523" t="s">
        <v>2012</v>
      </c>
      <c r="D354" s="453" t="str">
        <f t="shared" si="17"/>
        <v>BEN Benin</v>
      </c>
      <c r="E354" s="524" t="s">
        <v>279</v>
      </c>
      <c r="F354" s="454" t="s">
        <v>2013</v>
      </c>
      <c r="G354" s="460" t="s">
        <v>2013</v>
      </c>
      <c r="H354" s="454" t="s">
        <v>2014</v>
      </c>
      <c r="I354" s="454" t="s">
        <v>2015</v>
      </c>
      <c r="J354" s="454" t="str">
        <f t="shared" si="13"/>
        <v>[pt]Benin</v>
      </c>
      <c r="K354" s="454" t="str">
        <f t="shared" si="14"/>
        <v>[gr]Benin</v>
      </c>
      <c r="L354" s="525" t="s">
        <v>280</v>
      </c>
      <c r="M354" s="455" t="str">
        <f t="shared" si="18"/>
        <v/>
      </c>
    </row>
    <row r="355" spans="1:13" ht="15.75" customHeight="1">
      <c r="A355" s="523" t="s">
        <v>282</v>
      </c>
      <c r="B355" s="474" t="s">
        <v>2016</v>
      </c>
      <c r="C355" s="523" t="s">
        <v>2017</v>
      </c>
      <c r="D355" s="453" t="str">
        <f t="shared" si="17"/>
        <v>BFA Burkina Faso</v>
      </c>
      <c r="E355" s="524" t="s">
        <v>281</v>
      </c>
      <c r="F355" s="454" t="s">
        <v>2018</v>
      </c>
      <c r="G355" s="460" t="s">
        <v>2018</v>
      </c>
      <c r="H355" s="454" t="s">
        <v>281</v>
      </c>
      <c r="I355" s="454" t="s">
        <v>281</v>
      </c>
      <c r="J355" s="454" t="str">
        <f t="shared" si="13"/>
        <v>[pt]Burkina Faso</v>
      </c>
      <c r="K355" s="454" t="str">
        <f t="shared" si="14"/>
        <v>[gr]Burkina Faso</v>
      </c>
      <c r="L355" s="525" t="s">
        <v>282</v>
      </c>
      <c r="M355" s="455" t="str">
        <f t="shared" si="18"/>
        <v/>
      </c>
    </row>
    <row r="356" spans="1:13" ht="15.75" customHeight="1">
      <c r="A356" s="523" t="s">
        <v>284</v>
      </c>
      <c r="B356" s="474" t="s">
        <v>2019</v>
      </c>
      <c r="C356" s="523" t="s">
        <v>2020</v>
      </c>
      <c r="D356" s="453" t="str">
        <f t="shared" si="17"/>
        <v>BGD Bangladesch</v>
      </c>
      <c r="E356" s="524" t="s">
        <v>2021</v>
      </c>
      <c r="F356" s="454" t="s">
        <v>2022</v>
      </c>
      <c r="G356" s="460" t="s">
        <v>2022</v>
      </c>
      <c r="H356" s="454" t="s">
        <v>2023</v>
      </c>
      <c r="I356" s="454" t="s">
        <v>283</v>
      </c>
      <c r="J356" s="454" t="str">
        <f t="shared" si="13"/>
        <v>[pt]Bangladesch</v>
      </c>
      <c r="K356" s="454" t="str">
        <f t="shared" si="14"/>
        <v>[gr]Bangladesch</v>
      </c>
      <c r="L356" s="525" t="s">
        <v>284</v>
      </c>
      <c r="M356" s="455" t="str">
        <f t="shared" si="18"/>
        <v/>
      </c>
    </row>
    <row r="357" spans="1:13" ht="15.75" customHeight="1">
      <c r="A357" s="523" t="s">
        <v>286</v>
      </c>
      <c r="B357" s="474" t="s">
        <v>2024</v>
      </c>
      <c r="C357" s="523" t="s">
        <v>2025</v>
      </c>
      <c r="D357" s="453" t="str">
        <f t="shared" si="17"/>
        <v>BGR Bulgarien</v>
      </c>
      <c r="E357" s="524" t="s">
        <v>2026</v>
      </c>
      <c r="F357" s="454" t="s">
        <v>2027</v>
      </c>
      <c r="G357" s="460" t="s">
        <v>2027</v>
      </c>
      <c r="H357" s="454" t="s">
        <v>285</v>
      </c>
      <c r="I357" s="454" t="s">
        <v>2028</v>
      </c>
      <c r="J357" s="454" t="str">
        <f t="shared" si="13"/>
        <v>[pt]Bulgarien</v>
      </c>
      <c r="K357" s="454" t="str">
        <f t="shared" si="14"/>
        <v>[gr]Bulgarien</v>
      </c>
      <c r="L357" s="525" t="s">
        <v>286</v>
      </c>
      <c r="M357" s="455" t="str">
        <f t="shared" si="18"/>
        <v/>
      </c>
    </row>
    <row r="358" spans="1:13" ht="15.75" customHeight="1">
      <c r="A358" s="523" t="s">
        <v>288</v>
      </c>
      <c r="B358" s="474" t="s">
        <v>2029</v>
      </c>
      <c r="C358" s="523" t="s">
        <v>2030</v>
      </c>
      <c r="D358" s="453" t="str">
        <f t="shared" si="17"/>
        <v>BHR Bahrain</v>
      </c>
      <c r="E358" s="524" t="s">
        <v>287</v>
      </c>
      <c r="F358" s="454" t="s">
        <v>2031</v>
      </c>
      <c r="G358" s="460" t="s">
        <v>2031</v>
      </c>
      <c r="H358" s="454" t="s">
        <v>2032</v>
      </c>
      <c r="I358" s="454" t="s">
        <v>2033</v>
      </c>
      <c r="J358" s="454" t="str">
        <f t="shared" si="13"/>
        <v>[pt]Bahrain</v>
      </c>
      <c r="K358" s="454" t="str">
        <f t="shared" si="14"/>
        <v>[gr]Bahrain</v>
      </c>
      <c r="L358" s="525" t="s">
        <v>288</v>
      </c>
      <c r="M358" s="455" t="str">
        <f t="shared" si="18"/>
        <v/>
      </c>
    </row>
    <row r="359" spans="1:13" ht="15.75" customHeight="1">
      <c r="A359" s="523" t="s">
        <v>290</v>
      </c>
      <c r="B359" s="474" t="s">
        <v>2034</v>
      </c>
      <c r="C359" s="523" t="s">
        <v>2035</v>
      </c>
      <c r="D359" s="453" t="str">
        <f t="shared" si="17"/>
        <v>BHS Bahamas</v>
      </c>
      <c r="E359" s="524" t="s">
        <v>2036</v>
      </c>
      <c r="F359" s="454" t="s">
        <v>2037</v>
      </c>
      <c r="G359" s="460" t="s">
        <v>2037</v>
      </c>
      <c r="H359" s="454" t="s">
        <v>2036</v>
      </c>
      <c r="I359" s="454" t="s">
        <v>2036</v>
      </c>
      <c r="J359" s="454" t="str">
        <f t="shared" si="13"/>
        <v>[pt]Bahamas</v>
      </c>
      <c r="K359" s="454" t="str">
        <f t="shared" si="14"/>
        <v>[gr]Bahamas</v>
      </c>
      <c r="L359" s="525" t="s">
        <v>290</v>
      </c>
      <c r="M359" s="455" t="str">
        <f t="shared" si="18"/>
        <v/>
      </c>
    </row>
    <row r="360" spans="1:13" ht="15.75" customHeight="1">
      <c r="A360" s="523" t="s">
        <v>292</v>
      </c>
      <c r="B360" s="474" t="s">
        <v>2038</v>
      </c>
      <c r="C360" s="523" t="s">
        <v>2039</v>
      </c>
      <c r="D360" s="453" t="str">
        <f t="shared" si="17"/>
        <v>BIH Bosnien und Herzegowina</v>
      </c>
      <c r="E360" s="524" t="s">
        <v>2040</v>
      </c>
      <c r="F360" s="454" t="s">
        <v>2041</v>
      </c>
      <c r="G360" s="460" t="s">
        <v>2042</v>
      </c>
      <c r="H360" s="454" t="s">
        <v>2043</v>
      </c>
      <c r="I360" s="454" t="s">
        <v>2044</v>
      </c>
      <c r="J360" s="454" t="str">
        <f t="shared" si="13"/>
        <v>[pt]Bosnien und Herzegowina</v>
      </c>
      <c r="K360" s="454" t="str">
        <f t="shared" si="14"/>
        <v>[gr]Bosnien und Herzegowina</v>
      </c>
      <c r="L360" s="525" t="s">
        <v>292</v>
      </c>
      <c r="M360" s="455" t="str">
        <f t="shared" si="18"/>
        <v/>
      </c>
    </row>
    <row r="361" spans="1:13" ht="15.75" customHeight="1">
      <c r="A361" s="523" t="s">
        <v>294</v>
      </c>
      <c r="B361" s="474" t="s">
        <v>2045</v>
      </c>
      <c r="C361" s="523" t="s">
        <v>2046</v>
      </c>
      <c r="D361" s="453" t="str">
        <f t="shared" si="17"/>
        <v>BLR Belarus</v>
      </c>
      <c r="E361" s="524" t="s">
        <v>293</v>
      </c>
      <c r="F361" s="454" t="s">
        <v>2047</v>
      </c>
      <c r="G361" s="460" t="s">
        <v>2048</v>
      </c>
      <c r="H361" s="454" t="s">
        <v>2049</v>
      </c>
      <c r="I361" s="454" t="s">
        <v>2050</v>
      </c>
      <c r="J361" s="454" t="str">
        <f t="shared" si="13"/>
        <v>[pt]Belarus</v>
      </c>
      <c r="K361" s="454" t="str">
        <f t="shared" si="14"/>
        <v>[gr]Belarus</v>
      </c>
      <c r="L361" s="525" t="s">
        <v>294</v>
      </c>
      <c r="M361" s="455" t="str">
        <f t="shared" si="18"/>
        <v/>
      </c>
    </row>
    <row r="362" spans="1:13" ht="15.75" customHeight="1">
      <c r="A362" s="523" t="s">
        <v>296</v>
      </c>
      <c r="B362" s="474" t="s">
        <v>2051</v>
      </c>
      <c r="C362" s="523" t="s">
        <v>2052</v>
      </c>
      <c r="D362" s="453" t="str">
        <f t="shared" si="17"/>
        <v>BLZ Belize</v>
      </c>
      <c r="E362" s="524" t="s">
        <v>295</v>
      </c>
      <c r="F362" s="454" t="s">
        <v>2053</v>
      </c>
      <c r="G362" s="460" t="s">
        <v>2053</v>
      </c>
      <c r="H362" s="454" t="s">
        <v>2054</v>
      </c>
      <c r="I362" s="454" t="s">
        <v>295</v>
      </c>
      <c r="J362" s="454" t="str">
        <f t="shared" si="13"/>
        <v>[pt]Belize</v>
      </c>
      <c r="K362" s="454" t="str">
        <f t="shared" si="14"/>
        <v>[gr]Belize</v>
      </c>
      <c r="L362" s="525" t="s">
        <v>296</v>
      </c>
      <c r="M362" s="455" t="str">
        <f t="shared" si="18"/>
        <v/>
      </c>
    </row>
    <row r="363" spans="1:13" ht="15.75" customHeight="1">
      <c r="A363" s="523" t="s">
        <v>298</v>
      </c>
      <c r="B363" s="474" t="s">
        <v>2055</v>
      </c>
      <c r="C363" s="523" t="s">
        <v>2056</v>
      </c>
      <c r="D363" s="453" t="str">
        <f t="shared" si="17"/>
        <v>BMU Bermuda</v>
      </c>
      <c r="E363" s="524" t="s">
        <v>297</v>
      </c>
      <c r="F363" s="454" t="s">
        <v>2057</v>
      </c>
      <c r="G363" s="460" t="s">
        <v>2057</v>
      </c>
      <c r="H363" s="454" t="s">
        <v>2058</v>
      </c>
      <c r="I363" s="454" t="s">
        <v>2059</v>
      </c>
      <c r="J363" s="454" t="str">
        <f t="shared" si="13"/>
        <v>[pt]Bermuda</v>
      </c>
      <c r="K363" s="454" t="str">
        <f t="shared" si="14"/>
        <v>[gr]Bermuda</v>
      </c>
      <c r="L363" s="525" t="s">
        <v>298</v>
      </c>
      <c r="M363" s="455" t="str">
        <f t="shared" si="18"/>
        <v/>
      </c>
    </row>
    <row r="364" spans="1:13" ht="15.75" customHeight="1">
      <c r="A364" s="523" t="s">
        <v>300</v>
      </c>
      <c r="B364" s="474" t="s">
        <v>2060</v>
      </c>
      <c r="C364" s="523" t="s">
        <v>2061</v>
      </c>
      <c r="D364" s="453" t="str">
        <f t="shared" si="17"/>
        <v>BOL Bolivien</v>
      </c>
      <c r="E364" s="524" t="s">
        <v>2062</v>
      </c>
      <c r="F364" s="454" t="s">
        <v>2063</v>
      </c>
      <c r="G364" s="460" t="s">
        <v>2064</v>
      </c>
      <c r="H364" s="454" t="s">
        <v>299</v>
      </c>
      <c r="I364" s="454" t="s">
        <v>2065</v>
      </c>
      <c r="J364" s="454" t="str">
        <f t="shared" si="13"/>
        <v>[pt]Bolivien</v>
      </c>
      <c r="K364" s="454" t="str">
        <f t="shared" si="14"/>
        <v>[gr]Bolivien</v>
      </c>
      <c r="L364" s="525" t="s">
        <v>300</v>
      </c>
      <c r="M364" s="455" t="str">
        <f t="shared" si="18"/>
        <v/>
      </c>
    </row>
    <row r="365" spans="1:13" ht="15.75" customHeight="1">
      <c r="A365" s="523" t="s">
        <v>302</v>
      </c>
      <c r="B365" s="474" t="s">
        <v>2066</v>
      </c>
      <c r="C365" s="523" t="s">
        <v>2067</v>
      </c>
      <c r="D365" s="453" t="str">
        <f t="shared" si="17"/>
        <v>BRA Brasilien</v>
      </c>
      <c r="E365" s="524" t="s">
        <v>2068</v>
      </c>
      <c r="F365" s="454" t="s">
        <v>2069</v>
      </c>
      <c r="G365" s="460" t="s">
        <v>2070</v>
      </c>
      <c r="H365" s="454" t="s">
        <v>2071</v>
      </c>
      <c r="I365" s="454" t="s">
        <v>2072</v>
      </c>
      <c r="J365" s="454" t="str">
        <f t="shared" si="13"/>
        <v>[pt]Brasilien</v>
      </c>
      <c r="K365" s="454" t="str">
        <f t="shared" si="14"/>
        <v>[gr]Brasilien</v>
      </c>
      <c r="L365" s="525" t="s">
        <v>302</v>
      </c>
      <c r="M365" s="455" t="str">
        <f t="shared" si="18"/>
        <v/>
      </c>
    </row>
    <row r="366" spans="1:13" ht="15.75" customHeight="1">
      <c r="A366" s="523" t="s">
        <v>304</v>
      </c>
      <c r="B366" s="474" t="s">
        <v>2073</v>
      </c>
      <c r="C366" s="523" t="s">
        <v>2074</v>
      </c>
      <c r="D366" s="453" t="str">
        <f t="shared" si="17"/>
        <v>BRB Barbados</v>
      </c>
      <c r="E366" s="524" t="s">
        <v>303</v>
      </c>
      <c r="F366" s="454" t="s">
        <v>2075</v>
      </c>
      <c r="G366" s="460" t="s">
        <v>2075</v>
      </c>
      <c r="H366" s="454" t="s">
        <v>303</v>
      </c>
      <c r="I366" s="454" t="s">
        <v>2076</v>
      </c>
      <c r="J366" s="454" t="str">
        <f t="shared" si="13"/>
        <v>[pt]Barbados</v>
      </c>
      <c r="K366" s="454" t="str">
        <f t="shared" si="14"/>
        <v>[gr]Barbados</v>
      </c>
      <c r="L366" s="525" t="s">
        <v>304</v>
      </c>
      <c r="M366" s="455" t="str">
        <f t="shared" si="18"/>
        <v/>
      </c>
    </row>
    <row r="367" spans="1:13" ht="15.75" customHeight="1">
      <c r="A367" s="523" t="s">
        <v>306</v>
      </c>
      <c r="B367" s="474" t="s">
        <v>2077</v>
      </c>
      <c r="C367" s="523" t="s">
        <v>2078</v>
      </c>
      <c r="D367" s="453" t="str">
        <f t="shared" si="17"/>
        <v>BRN Brunei Darussalam</v>
      </c>
      <c r="E367" s="524" t="s">
        <v>305</v>
      </c>
      <c r="F367" s="454" t="s">
        <v>2079</v>
      </c>
      <c r="G367" s="460" t="s">
        <v>2080</v>
      </c>
      <c r="H367" s="454" t="s">
        <v>2081</v>
      </c>
      <c r="I367" s="454" t="s">
        <v>2082</v>
      </c>
      <c r="J367" s="454" t="str">
        <f t="shared" si="13"/>
        <v>[pt]Brunei Darussalam</v>
      </c>
      <c r="K367" s="454" t="str">
        <f t="shared" si="14"/>
        <v>[gr]Brunei Darussalam</v>
      </c>
      <c r="L367" s="525" t="s">
        <v>306</v>
      </c>
      <c r="M367" s="455" t="str">
        <f t="shared" si="18"/>
        <v/>
      </c>
    </row>
    <row r="368" spans="1:13" ht="15.75" customHeight="1">
      <c r="A368" s="523" t="s">
        <v>308</v>
      </c>
      <c r="B368" s="474" t="s">
        <v>2083</v>
      </c>
      <c r="C368" s="523" t="s">
        <v>2084</v>
      </c>
      <c r="D368" s="453" t="str">
        <f t="shared" si="17"/>
        <v>BTN Bhutan</v>
      </c>
      <c r="E368" s="524" t="s">
        <v>307</v>
      </c>
      <c r="F368" s="454" t="s">
        <v>2085</v>
      </c>
      <c r="G368" s="460" t="s">
        <v>2085</v>
      </c>
      <c r="H368" s="454" t="s">
        <v>2086</v>
      </c>
      <c r="I368" s="454" t="s">
        <v>2087</v>
      </c>
      <c r="J368" s="454" t="str">
        <f t="shared" si="13"/>
        <v>[pt]Bhutan</v>
      </c>
      <c r="K368" s="454" t="str">
        <f t="shared" si="14"/>
        <v>[gr]Bhutan</v>
      </c>
      <c r="L368" s="525" t="s">
        <v>308</v>
      </c>
      <c r="M368" s="455" t="str">
        <f t="shared" si="18"/>
        <v/>
      </c>
    </row>
    <row r="369" spans="1:13" ht="15.75" customHeight="1">
      <c r="A369" s="523" t="s">
        <v>310</v>
      </c>
      <c r="B369" s="474" t="s">
        <v>2088</v>
      </c>
      <c r="C369" s="523" t="s">
        <v>2089</v>
      </c>
      <c r="D369" s="453" t="str">
        <f t="shared" si="17"/>
        <v>BWA Botswana</v>
      </c>
      <c r="E369" s="524" t="s">
        <v>309</v>
      </c>
      <c r="F369" s="454" t="s">
        <v>2090</v>
      </c>
      <c r="G369" s="460" t="s">
        <v>2090</v>
      </c>
      <c r="H369" s="454" t="s">
        <v>2091</v>
      </c>
      <c r="I369" s="454" t="s">
        <v>309</v>
      </c>
      <c r="J369" s="454" t="str">
        <f t="shared" si="13"/>
        <v>[pt]Botswana</v>
      </c>
      <c r="K369" s="454" t="str">
        <f t="shared" si="14"/>
        <v>[gr]Botswana</v>
      </c>
      <c r="L369" s="525" t="s">
        <v>310</v>
      </c>
      <c r="M369" s="455" t="str">
        <f t="shared" si="18"/>
        <v/>
      </c>
    </row>
    <row r="370" spans="1:13" ht="15.75" customHeight="1">
      <c r="A370" s="523" t="s">
        <v>312</v>
      </c>
      <c r="B370" s="474" t="s">
        <v>2092</v>
      </c>
      <c r="C370" s="523" t="s">
        <v>2093</v>
      </c>
      <c r="D370" s="453" t="str">
        <f t="shared" si="17"/>
        <v>CAF Zentralafrikanische Republik</v>
      </c>
      <c r="E370" s="524" t="s">
        <v>2094</v>
      </c>
      <c r="F370" s="454" t="s">
        <v>2095</v>
      </c>
      <c r="G370" s="460" t="s">
        <v>2096</v>
      </c>
      <c r="H370" s="454" t="s">
        <v>2097</v>
      </c>
      <c r="I370" s="454" t="s">
        <v>2098</v>
      </c>
      <c r="J370" s="454" t="str">
        <f t="shared" si="13"/>
        <v>[pt]Zentralafrikanische Republik</v>
      </c>
      <c r="K370" s="454" t="str">
        <f t="shared" si="14"/>
        <v>[gr]Zentralafrikanische Republik</v>
      </c>
      <c r="L370" s="525" t="s">
        <v>312</v>
      </c>
      <c r="M370" s="455" t="str">
        <f t="shared" si="18"/>
        <v/>
      </c>
    </row>
    <row r="371" spans="1:13" ht="15.75" customHeight="1">
      <c r="A371" s="523" t="s">
        <v>314</v>
      </c>
      <c r="B371" s="474" t="s">
        <v>2099</v>
      </c>
      <c r="C371" s="523" t="s">
        <v>2100</v>
      </c>
      <c r="D371" s="453" t="str">
        <f t="shared" si="17"/>
        <v>CAN Kanada</v>
      </c>
      <c r="E371" s="524" t="s">
        <v>2101</v>
      </c>
      <c r="F371" s="454" t="s">
        <v>2102</v>
      </c>
      <c r="G371" s="460" t="s">
        <v>2102</v>
      </c>
      <c r="H371" s="454" t="s">
        <v>2103</v>
      </c>
      <c r="I371" s="454" t="s">
        <v>313</v>
      </c>
      <c r="J371" s="454" t="str">
        <f t="shared" si="13"/>
        <v>[pt]Kanada</v>
      </c>
      <c r="K371" s="454" t="str">
        <f t="shared" si="14"/>
        <v>[gr]Kanada</v>
      </c>
      <c r="L371" s="525" t="s">
        <v>314</v>
      </c>
      <c r="M371" s="455" t="str">
        <f t="shared" si="18"/>
        <v/>
      </c>
    </row>
    <row r="372" spans="1:13" ht="15.75" customHeight="1">
      <c r="A372" s="523" t="s">
        <v>316</v>
      </c>
      <c r="B372" s="474" t="s">
        <v>2104</v>
      </c>
      <c r="C372" s="523" t="s">
        <v>2105</v>
      </c>
      <c r="D372" s="453" t="str">
        <f t="shared" si="17"/>
        <v>CHE Schweiz (Confoederatio Helvetica)</v>
      </c>
      <c r="E372" s="524" t="s">
        <v>2106</v>
      </c>
      <c r="F372" s="454" t="s">
        <v>2107</v>
      </c>
      <c r="G372" s="460" t="s">
        <v>2108</v>
      </c>
      <c r="H372" s="454" t="s">
        <v>2109</v>
      </c>
      <c r="I372" s="454" t="s">
        <v>2110</v>
      </c>
      <c r="J372" s="454" t="str">
        <f t="shared" si="13"/>
        <v>[pt]Schweiz (Confoederatio Helvetica)</v>
      </c>
      <c r="K372" s="454" t="str">
        <f t="shared" si="14"/>
        <v>[gr]Schweiz (Confoederatio Helvetica)</v>
      </c>
      <c r="L372" s="525" t="s">
        <v>316</v>
      </c>
      <c r="M372" s="455" t="str">
        <f t="shared" si="18"/>
        <v/>
      </c>
    </row>
    <row r="373" spans="1:13" ht="15.75" customHeight="1">
      <c r="A373" s="523" t="s">
        <v>318</v>
      </c>
      <c r="B373" s="474" t="s">
        <v>2111</v>
      </c>
      <c r="C373" s="523" t="s">
        <v>2112</v>
      </c>
      <c r="D373" s="453" t="str">
        <f t="shared" si="17"/>
        <v>CHL Chile</v>
      </c>
      <c r="E373" s="524" t="s">
        <v>317</v>
      </c>
      <c r="F373" s="454" t="s">
        <v>2113</v>
      </c>
      <c r="G373" s="460" t="s">
        <v>2114</v>
      </c>
      <c r="H373" s="454" t="s">
        <v>317</v>
      </c>
      <c r="I373" s="454" t="s">
        <v>2115</v>
      </c>
      <c r="J373" s="454" t="str">
        <f t="shared" si="13"/>
        <v>[pt]Chile</v>
      </c>
      <c r="K373" s="454" t="str">
        <f t="shared" si="14"/>
        <v>[gr]Chile</v>
      </c>
      <c r="L373" s="525" t="s">
        <v>318</v>
      </c>
      <c r="M373" s="455" t="str">
        <f t="shared" si="18"/>
        <v/>
      </c>
    </row>
    <row r="374" spans="1:13" ht="15.75" customHeight="1">
      <c r="A374" s="523" t="s">
        <v>320</v>
      </c>
      <c r="B374" s="474" t="s">
        <v>2116</v>
      </c>
      <c r="C374" s="523" t="s">
        <v>2117</v>
      </c>
      <c r="D374" s="453" t="str">
        <f t="shared" si="17"/>
        <v>CHN China, Volksrepublik</v>
      </c>
      <c r="E374" s="524" t="s">
        <v>2118</v>
      </c>
      <c r="F374" s="454" t="s">
        <v>2119</v>
      </c>
      <c r="G374" s="460" t="s">
        <v>2120</v>
      </c>
      <c r="H374" s="454" t="s">
        <v>319</v>
      </c>
      <c r="I374" s="454" t="s">
        <v>2121</v>
      </c>
      <c r="J374" s="454" t="str">
        <f t="shared" si="13"/>
        <v>[pt]China, Volksrepublik</v>
      </c>
      <c r="K374" s="454" t="str">
        <f t="shared" si="14"/>
        <v>[gr]China, Volksrepublik</v>
      </c>
      <c r="L374" s="525" t="s">
        <v>320</v>
      </c>
      <c r="M374" s="455" t="str">
        <f t="shared" si="18"/>
        <v/>
      </c>
    </row>
    <row r="375" spans="1:13" ht="15.75" customHeight="1">
      <c r="A375" s="523" t="s">
        <v>322</v>
      </c>
      <c r="B375" s="474" t="s">
        <v>2122</v>
      </c>
      <c r="C375" s="523" t="s">
        <v>2123</v>
      </c>
      <c r="D375" s="453" t="str">
        <f t="shared" si="17"/>
        <v>CIV Côte d’Ivoire (Elfenbeinküste)</v>
      </c>
      <c r="E375" s="524" t="s">
        <v>2124</v>
      </c>
      <c r="F375" s="454" t="s">
        <v>2125</v>
      </c>
      <c r="G375" s="460" t="s">
        <v>2126</v>
      </c>
      <c r="H375" s="454" t="s">
        <v>2127</v>
      </c>
      <c r="I375" s="454" t="s">
        <v>2128</v>
      </c>
      <c r="J375" s="454" t="str">
        <f t="shared" si="13"/>
        <v>[pt]Côte d’Ivoire (Elfenbeinküste)</v>
      </c>
      <c r="K375" s="454" t="str">
        <f t="shared" si="14"/>
        <v>[gr]Côte d’Ivoire (Elfenbeinküste)</v>
      </c>
      <c r="L375" s="525" t="s">
        <v>322</v>
      </c>
      <c r="M375" s="455" t="str">
        <f t="shared" si="18"/>
        <v/>
      </c>
    </row>
    <row r="376" spans="1:13" ht="15.75" customHeight="1">
      <c r="A376" s="523" t="s">
        <v>324</v>
      </c>
      <c r="B376" s="474" t="s">
        <v>2129</v>
      </c>
      <c r="C376" s="523" t="s">
        <v>2130</v>
      </c>
      <c r="D376" s="453" t="str">
        <f t="shared" si="17"/>
        <v>CMR Kamerun</v>
      </c>
      <c r="E376" s="524" t="s">
        <v>2131</v>
      </c>
      <c r="F376" s="454" t="s">
        <v>2132</v>
      </c>
      <c r="G376" s="460" t="s">
        <v>2133</v>
      </c>
      <c r="H376" s="454" t="s">
        <v>2134</v>
      </c>
      <c r="I376" s="454" t="s">
        <v>2135</v>
      </c>
      <c r="J376" s="454" t="str">
        <f t="shared" si="13"/>
        <v>[pt]Kamerun</v>
      </c>
      <c r="K376" s="454" t="str">
        <f t="shared" si="14"/>
        <v>[gr]Kamerun</v>
      </c>
      <c r="L376" s="525" t="s">
        <v>324</v>
      </c>
      <c r="M376" s="455" t="str">
        <f t="shared" si="18"/>
        <v/>
      </c>
    </row>
    <row r="377" spans="1:13" ht="15.75" customHeight="1">
      <c r="A377" s="523" t="s">
        <v>326</v>
      </c>
      <c r="B377" s="474" t="s">
        <v>2136</v>
      </c>
      <c r="C377" s="523" t="s">
        <v>2137</v>
      </c>
      <c r="D377" s="453" t="str">
        <f t="shared" si="17"/>
        <v>COD Kongo, Demokratische Republik (ehem. Zaire)</v>
      </c>
      <c r="E377" s="524" t="s">
        <v>2138</v>
      </c>
      <c r="F377" s="454" t="s">
        <v>2139</v>
      </c>
      <c r="G377" s="460" t="s">
        <v>2140</v>
      </c>
      <c r="H377" s="454" t="s">
        <v>2141</v>
      </c>
      <c r="I377" s="454" t="s">
        <v>2142</v>
      </c>
      <c r="J377" s="454" t="str">
        <f t="shared" si="13"/>
        <v>[pt]Kongo, Demokratische Republik (ehem. Zaire)</v>
      </c>
      <c r="K377" s="454" t="str">
        <f t="shared" si="14"/>
        <v>[gr]Kongo, Demokratische Republik (ehem. Zaire)</v>
      </c>
      <c r="L377" s="525" t="s">
        <v>326</v>
      </c>
      <c r="M377" s="455" t="str">
        <f t="shared" si="18"/>
        <v/>
      </c>
    </row>
    <row r="378" spans="1:13" ht="15.75" customHeight="1">
      <c r="A378" s="523" t="s">
        <v>328</v>
      </c>
      <c r="B378" s="474" t="s">
        <v>2143</v>
      </c>
      <c r="C378" s="523" t="s">
        <v>2144</v>
      </c>
      <c r="D378" s="453" t="str">
        <f t="shared" si="17"/>
        <v>COG Republik Kongo</v>
      </c>
      <c r="E378" s="524" t="s">
        <v>2145</v>
      </c>
      <c r="F378" s="454" t="s">
        <v>2146</v>
      </c>
      <c r="G378" s="460" t="s">
        <v>2147</v>
      </c>
      <c r="H378" s="454" t="s">
        <v>2148</v>
      </c>
      <c r="I378" s="454" t="s">
        <v>2149</v>
      </c>
      <c r="J378" s="454" t="str">
        <f t="shared" si="13"/>
        <v>[pt]Republik Kongo</v>
      </c>
      <c r="K378" s="454" t="str">
        <f t="shared" si="14"/>
        <v>[gr]Republik Kongo</v>
      </c>
      <c r="L378" s="525" t="s">
        <v>328</v>
      </c>
      <c r="M378" s="455" t="str">
        <f t="shared" si="18"/>
        <v/>
      </c>
    </row>
    <row r="379" spans="1:13" ht="15.75" customHeight="1">
      <c r="A379" s="523" t="s">
        <v>330</v>
      </c>
      <c r="B379" s="474" t="s">
        <v>2150</v>
      </c>
      <c r="C379" s="523" t="s">
        <v>2151</v>
      </c>
      <c r="D379" s="453" t="str">
        <f t="shared" si="17"/>
        <v>COL Kolumbien</v>
      </c>
      <c r="E379" s="524" t="s">
        <v>2152</v>
      </c>
      <c r="F379" s="454" t="s">
        <v>2153</v>
      </c>
      <c r="G379" s="460" t="s">
        <v>2153</v>
      </c>
      <c r="H379" s="454" t="s">
        <v>329</v>
      </c>
      <c r="I379" s="454" t="s">
        <v>2154</v>
      </c>
      <c r="J379" s="454" t="str">
        <f t="shared" si="13"/>
        <v>[pt]Kolumbien</v>
      </c>
      <c r="K379" s="454" t="str">
        <f t="shared" si="14"/>
        <v>[gr]Kolumbien</v>
      </c>
      <c r="L379" s="525" t="s">
        <v>330</v>
      </c>
      <c r="M379" s="455" t="str">
        <f t="shared" si="18"/>
        <v/>
      </c>
    </row>
    <row r="380" spans="1:13" ht="15.75" customHeight="1">
      <c r="A380" s="523" t="s">
        <v>332</v>
      </c>
      <c r="B380" s="474" t="s">
        <v>2155</v>
      </c>
      <c r="C380" s="523" t="s">
        <v>2156</v>
      </c>
      <c r="D380" s="453" t="str">
        <f t="shared" si="17"/>
        <v>COM Komoren</v>
      </c>
      <c r="E380" s="524" t="s">
        <v>2157</v>
      </c>
      <c r="F380" s="454" t="s">
        <v>2158</v>
      </c>
      <c r="G380" s="460" t="s">
        <v>2159</v>
      </c>
      <c r="H380" s="454" t="s">
        <v>2160</v>
      </c>
      <c r="I380" s="454" t="s">
        <v>2161</v>
      </c>
      <c r="J380" s="454" t="str">
        <f t="shared" si="13"/>
        <v>[pt]Komoren</v>
      </c>
      <c r="K380" s="454" t="str">
        <f t="shared" si="14"/>
        <v>[gr]Komoren</v>
      </c>
      <c r="L380" s="525" t="s">
        <v>332</v>
      </c>
      <c r="M380" s="455" t="str">
        <f t="shared" si="18"/>
        <v/>
      </c>
    </row>
    <row r="381" spans="1:13" ht="15.75" customHeight="1">
      <c r="A381" s="523" t="s">
        <v>334</v>
      </c>
      <c r="B381" s="474" t="s">
        <v>2162</v>
      </c>
      <c r="C381" s="523" t="s">
        <v>2163</v>
      </c>
      <c r="D381" s="453" t="str">
        <f t="shared" si="17"/>
        <v>CPV Kap Verde</v>
      </c>
      <c r="E381" s="524" t="s">
        <v>2164</v>
      </c>
      <c r="F381" s="454" t="s">
        <v>2165</v>
      </c>
      <c r="G381" s="460" t="s">
        <v>2166</v>
      </c>
      <c r="H381" s="454" t="s">
        <v>333</v>
      </c>
      <c r="I381" s="454" t="s">
        <v>2167</v>
      </c>
      <c r="J381" s="454" t="str">
        <f t="shared" si="13"/>
        <v>[pt]Kap Verde</v>
      </c>
      <c r="K381" s="454" t="str">
        <f t="shared" si="14"/>
        <v>[gr]Kap Verde</v>
      </c>
      <c r="L381" s="525" t="s">
        <v>334</v>
      </c>
      <c r="M381" s="455" t="str">
        <f t="shared" si="18"/>
        <v/>
      </c>
    </row>
    <row r="382" spans="1:13" ht="15.75" customHeight="1">
      <c r="A382" s="523" t="s">
        <v>336</v>
      </c>
      <c r="B382" s="474" t="s">
        <v>2168</v>
      </c>
      <c r="C382" s="523" t="s">
        <v>2169</v>
      </c>
      <c r="D382" s="453" t="str">
        <f t="shared" si="17"/>
        <v>CRI Costa Rica</v>
      </c>
      <c r="E382" s="524" t="s">
        <v>335</v>
      </c>
      <c r="F382" s="454" t="s">
        <v>2170</v>
      </c>
      <c r="G382" s="460" t="s">
        <v>2170</v>
      </c>
      <c r="H382" s="454" t="s">
        <v>335</v>
      </c>
      <c r="I382" s="454" t="s">
        <v>335</v>
      </c>
      <c r="J382" s="454" t="str">
        <f t="shared" si="13"/>
        <v>[pt]Costa Rica</v>
      </c>
      <c r="K382" s="454" t="str">
        <f t="shared" si="14"/>
        <v>[gr]Costa Rica</v>
      </c>
      <c r="L382" s="525" t="s">
        <v>336</v>
      </c>
      <c r="M382" s="455" t="str">
        <f t="shared" si="18"/>
        <v/>
      </c>
    </row>
    <row r="383" spans="1:13" ht="15.75" customHeight="1">
      <c r="A383" s="523" t="s">
        <v>338</v>
      </c>
      <c r="B383" s="474" t="s">
        <v>2171</v>
      </c>
      <c r="C383" s="523" t="s">
        <v>2172</v>
      </c>
      <c r="D383" s="453" t="str">
        <f t="shared" si="17"/>
        <v>CUB Kuba</v>
      </c>
      <c r="E383" s="524" t="s">
        <v>2173</v>
      </c>
      <c r="F383" s="454" t="s">
        <v>2174</v>
      </c>
      <c r="G383" s="460" t="s">
        <v>2174</v>
      </c>
      <c r="H383" s="454" t="s">
        <v>337</v>
      </c>
      <c r="I383" s="454" t="s">
        <v>337</v>
      </c>
      <c r="J383" s="454" t="str">
        <f t="shared" si="13"/>
        <v>[pt]Kuba</v>
      </c>
      <c r="K383" s="454" t="str">
        <f t="shared" si="14"/>
        <v>[gr]Kuba</v>
      </c>
      <c r="L383" s="525" t="s">
        <v>338</v>
      </c>
      <c r="M383" s="455" t="str">
        <f t="shared" si="18"/>
        <v/>
      </c>
    </row>
    <row r="384" spans="1:13" ht="15.75" customHeight="1">
      <c r="A384" s="523" t="s">
        <v>340</v>
      </c>
      <c r="B384" s="474" t="s">
        <v>2175</v>
      </c>
      <c r="C384" s="523" t="s">
        <v>2176</v>
      </c>
      <c r="D384" s="453" t="str">
        <f t="shared" si="17"/>
        <v>CUW Curaçao</v>
      </c>
      <c r="E384" s="451" t="s">
        <v>2177</v>
      </c>
      <c r="F384" s="454" t="s">
        <v>2178</v>
      </c>
      <c r="G384" s="460" t="s">
        <v>2178</v>
      </c>
      <c r="H384" s="454" t="s">
        <v>2179</v>
      </c>
      <c r="I384" s="454" t="s">
        <v>2177</v>
      </c>
      <c r="J384" s="454" t="str">
        <f t="shared" si="13"/>
        <v>[pt]Curaçao</v>
      </c>
      <c r="K384" s="454" t="str">
        <f t="shared" si="14"/>
        <v>[gr]Curaçao</v>
      </c>
      <c r="L384" s="525" t="s">
        <v>340</v>
      </c>
      <c r="M384" s="455" t="str">
        <f t="shared" si="18"/>
        <v/>
      </c>
    </row>
    <row r="385" spans="1:13" ht="15.75" customHeight="1">
      <c r="A385" s="523" t="s">
        <v>342</v>
      </c>
      <c r="B385" s="474" t="s">
        <v>2180</v>
      </c>
      <c r="C385" s="523" t="s">
        <v>2181</v>
      </c>
      <c r="D385" s="453" t="str">
        <f t="shared" si="17"/>
        <v>CYM Kaimaninseln</v>
      </c>
      <c r="E385" s="524" t="s">
        <v>2182</v>
      </c>
      <c r="F385" s="454" t="s">
        <v>2183</v>
      </c>
      <c r="G385" s="460" t="s">
        <v>2184</v>
      </c>
      <c r="H385" s="454" t="s">
        <v>2185</v>
      </c>
      <c r="I385" s="454" t="s">
        <v>2186</v>
      </c>
      <c r="J385" s="454" t="str">
        <f t="shared" si="13"/>
        <v>[pt]Kaimaninseln</v>
      </c>
      <c r="K385" s="454" t="str">
        <f t="shared" si="14"/>
        <v>[gr]Kaimaninseln</v>
      </c>
      <c r="L385" s="525" t="s">
        <v>342</v>
      </c>
      <c r="M385" s="455" t="str">
        <f t="shared" si="18"/>
        <v/>
      </c>
    </row>
    <row r="386" spans="1:13" ht="15.75" customHeight="1">
      <c r="A386" s="523" t="s">
        <v>344</v>
      </c>
      <c r="B386" s="474" t="s">
        <v>2187</v>
      </c>
      <c r="C386" s="523" t="s">
        <v>2188</v>
      </c>
      <c r="D386" s="453" t="str">
        <f t="shared" si="17"/>
        <v>CYP Zypern</v>
      </c>
      <c r="E386" s="524" t="s">
        <v>2189</v>
      </c>
      <c r="F386" s="454" t="s">
        <v>2190</v>
      </c>
      <c r="G386" s="460" t="s">
        <v>2191</v>
      </c>
      <c r="H386" s="454" t="s">
        <v>2192</v>
      </c>
      <c r="I386" s="454" t="s">
        <v>2193</v>
      </c>
      <c r="J386" s="454" t="str">
        <f t="shared" si="13"/>
        <v>[pt]Zypern</v>
      </c>
      <c r="K386" s="454" t="str">
        <f t="shared" si="14"/>
        <v>[gr]Zypern</v>
      </c>
      <c r="L386" s="525" t="s">
        <v>344</v>
      </c>
      <c r="M386" s="455" t="str">
        <f t="shared" si="18"/>
        <v/>
      </c>
    </row>
    <row r="387" spans="1:13" ht="15.75" customHeight="1">
      <c r="A387" s="523" t="s">
        <v>346</v>
      </c>
      <c r="B387" s="474" t="s">
        <v>2194</v>
      </c>
      <c r="C387" s="523" t="s">
        <v>2195</v>
      </c>
      <c r="D387" s="453" t="str">
        <f t="shared" si="17"/>
        <v>CZE Tschechische Republik</v>
      </c>
      <c r="E387" s="524" t="s">
        <v>2196</v>
      </c>
      <c r="F387" s="454" t="s">
        <v>2197</v>
      </c>
      <c r="G387" s="460" t="s">
        <v>2198</v>
      </c>
      <c r="H387" s="454" t="s">
        <v>2199</v>
      </c>
      <c r="I387" s="454" t="s">
        <v>2200</v>
      </c>
      <c r="J387" s="454" t="str">
        <f t="shared" si="13"/>
        <v>[pt]Tschechische Republik</v>
      </c>
      <c r="K387" s="454" t="str">
        <f t="shared" si="14"/>
        <v>[gr]Tschechische Republik</v>
      </c>
      <c r="L387" s="525" t="s">
        <v>346</v>
      </c>
      <c r="M387" s="455" t="str">
        <f t="shared" si="18"/>
        <v/>
      </c>
    </row>
    <row r="388" spans="1:13" ht="15.75" customHeight="1">
      <c r="A388" s="523" t="s">
        <v>348</v>
      </c>
      <c r="B388" s="474" t="s">
        <v>2201</v>
      </c>
      <c r="C388" s="523" t="s">
        <v>2202</v>
      </c>
      <c r="D388" s="453" t="str">
        <f t="shared" si="17"/>
        <v>DEU Deutschland</v>
      </c>
      <c r="E388" s="524" t="s">
        <v>2203</v>
      </c>
      <c r="F388" s="454" t="s">
        <v>2204</v>
      </c>
      <c r="G388" s="460" t="s">
        <v>2205</v>
      </c>
      <c r="H388" s="454" t="s">
        <v>2206</v>
      </c>
      <c r="I388" s="454" t="s">
        <v>2207</v>
      </c>
      <c r="J388" s="454" t="str">
        <f t="shared" si="13"/>
        <v>[pt]Deutschland</v>
      </c>
      <c r="K388" s="454" t="str">
        <f t="shared" si="14"/>
        <v>[gr]Deutschland</v>
      </c>
      <c r="L388" s="525" t="s">
        <v>348</v>
      </c>
      <c r="M388" s="455" t="str">
        <f t="shared" si="18"/>
        <v/>
      </c>
    </row>
    <row r="389" spans="1:13" ht="15.75" customHeight="1">
      <c r="A389" s="523" t="s">
        <v>350</v>
      </c>
      <c r="B389" s="474" t="s">
        <v>2208</v>
      </c>
      <c r="C389" s="523" t="s">
        <v>2209</v>
      </c>
      <c r="D389" s="453" t="str">
        <f t="shared" si="17"/>
        <v>DJI Dschibuti</v>
      </c>
      <c r="E389" s="524" t="s">
        <v>2210</v>
      </c>
      <c r="F389" s="454" t="s">
        <v>2211</v>
      </c>
      <c r="G389" s="460" t="s">
        <v>2212</v>
      </c>
      <c r="H389" s="454" t="s">
        <v>2213</v>
      </c>
      <c r="I389" s="454" t="s">
        <v>349</v>
      </c>
      <c r="J389" s="454" t="str">
        <f t="shared" si="13"/>
        <v>[pt]Dschibuti</v>
      </c>
      <c r="K389" s="454" t="str">
        <f t="shared" si="14"/>
        <v>[gr]Dschibuti</v>
      </c>
      <c r="L389" s="525" t="s">
        <v>350</v>
      </c>
      <c r="M389" s="455" t="str">
        <f t="shared" si="18"/>
        <v/>
      </c>
    </row>
    <row r="390" spans="1:13" ht="15.75" customHeight="1">
      <c r="A390" s="523" t="s">
        <v>352</v>
      </c>
      <c r="B390" s="474" t="s">
        <v>2214</v>
      </c>
      <c r="C390" s="523" t="s">
        <v>2215</v>
      </c>
      <c r="D390" s="453" t="str">
        <f t="shared" si="17"/>
        <v>DMA Dominica</v>
      </c>
      <c r="E390" s="524" t="s">
        <v>351</v>
      </c>
      <c r="F390" s="454" t="s">
        <v>2216</v>
      </c>
      <c r="G390" s="460" t="s">
        <v>2216</v>
      </c>
      <c r="H390" s="454" t="s">
        <v>351</v>
      </c>
      <c r="I390" s="454" t="s">
        <v>2217</v>
      </c>
      <c r="J390" s="454" t="str">
        <f t="shared" si="13"/>
        <v>[pt]Dominica</v>
      </c>
      <c r="K390" s="454" t="str">
        <f t="shared" si="14"/>
        <v>[gr]Dominica</v>
      </c>
      <c r="L390" s="525" t="s">
        <v>352</v>
      </c>
      <c r="M390" s="455" t="str">
        <f t="shared" si="18"/>
        <v/>
      </c>
    </row>
    <row r="391" spans="1:13" ht="15.75" customHeight="1">
      <c r="A391" s="523" t="s">
        <v>354</v>
      </c>
      <c r="B391" s="474" t="s">
        <v>2218</v>
      </c>
      <c r="C391" s="523" t="s">
        <v>2219</v>
      </c>
      <c r="D391" s="453" t="str">
        <f t="shared" si="17"/>
        <v>DNK Dänemark</v>
      </c>
      <c r="E391" s="524" t="s">
        <v>2220</v>
      </c>
      <c r="F391" s="454" t="s">
        <v>2221</v>
      </c>
      <c r="G391" s="460" t="s">
        <v>2222</v>
      </c>
      <c r="H391" s="454" t="s">
        <v>2223</v>
      </c>
      <c r="I391" s="454" t="s">
        <v>2224</v>
      </c>
      <c r="J391" s="454" t="str">
        <f t="shared" si="13"/>
        <v>[pt]Dänemark</v>
      </c>
      <c r="K391" s="454" t="str">
        <f t="shared" si="14"/>
        <v>[gr]Dänemark</v>
      </c>
      <c r="L391" s="525" t="s">
        <v>354</v>
      </c>
      <c r="M391" s="455" t="str">
        <f t="shared" si="18"/>
        <v/>
      </c>
    </row>
    <row r="392" spans="1:13" ht="15.75" customHeight="1">
      <c r="A392" s="523" t="s">
        <v>356</v>
      </c>
      <c r="B392" s="474" t="s">
        <v>2225</v>
      </c>
      <c r="C392" s="523" t="s">
        <v>2226</v>
      </c>
      <c r="D392" s="453" t="str">
        <f t="shared" si="17"/>
        <v>DOM Dominikanische Republik</v>
      </c>
      <c r="E392" s="524" t="s">
        <v>2227</v>
      </c>
      <c r="F392" s="454" t="s">
        <v>2228</v>
      </c>
      <c r="G392" s="460" t="s">
        <v>2229</v>
      </c>
      <c r="H392" s="454" t="s">
        <v>2230</v>
      </c>
      <c r="I392" s="454" t="s">
        <v>2231</v>
      </c>
      <c r="J392" s="454" t="str">
        <f t="shared" si="13"/>
        <v>[pt]Dominikanische Republik</v>
      </c>
      <c r="K392" s="454" t="str">
        <f t="shared" si="14"/>
        <v>[gr]Dominikanische Republik</v>
      </c>
      <c r="L392" s="525" t="s">
        <v>356</v>
      </c>
      <c r="M392" s="455" t="str">
        <f t="shared" si="18"/>
        <v/>
      </c>
    </row>
    <row r="393" spans="1:13" ht="15.75" customHeight="1">
      <c r="A393" s="523" t="s">
        <v>358</v>
      </c>
      <c r="B393" s="474" t="s">
        <v>2232</v>
      </c>
      <c r="C393" s="523" t="s">
        <v>2233</v>
      </c>
      <c r="D393" s="453" t="str">
        <f t="shared" si="17"/>
        <v>DZA Algerien</v>
      </c>
      <c r="E393" s="524" t="s">
        <v>2234</v>
      </c>
      <c r="F393" s="454" t="s">
        <v>2235</v>
      </c>
      <c r="G393" s="460" t="s">
        <v>2235</v>
      </c>
      <c r="H393" s="454" t="s">
        <v>2236</v>
      </c>
      <c r="I393" s="454" t="s">
        <v>2237</v>
      </c>
      <c r="J393" s="454" t="str">
        <f t="shared" si="13"/>
        <v>[pt]Algerien</v>
      </c>
      <c r="K393" s="454" t="str">
        <f t="shared" si="14"/>
        <v>[gr]Algerien</v>
      </c>
      <c r="L393" s="525" t="s">
        <v>358</v>
      </c>
      <c r="M393" s="455" t="str">
        <f t="shared" si="18"/>
        <v/>
      </c>
    </row>
    <row r="394" spans="1:13" ht="15.75" customHeight="1">
      <c r="A394" s="523" t="s">
        <v>360</v>
      </c>
      <c r="B394" s="474" t="s">
        <v>2238</v>
      </c>
      <c r="C394" s="523" t="s">
        <v>2239</v>
      </c>
      <c r="D394" s="453" t="str">
        <f t="shared" si="17"/>
        <v>ECU Ecuador</v>
      </c>
      <c r="E394" s="524" t="s">
        <v>359</v>
      </c>
      <c r="F394" s="454" t="s">
        <v>2240</v>
      </c>
      <c r="G394" s="460" t="s">
        <v>2240</v>
      </c>
      <c r="H394" s="454" t="s">
        <v>359</v>
      </c>
      <c r="I394" s="454" t="s">
        <v>2241</v>
      </c>
      <c r="J394" s="454" t="str">
        <f t="shared" si="13"/>
        <v>[pt]Ecuador</v>
      </c>
      <c r="K394" s="454" t="str">
        <f t="shared" si="14"/>
        <v>[gr]Ecuador</v>
      </c>
      <c r="L394" s="525" t="s">
        <v>360</v>
      </c>
      <c r="M394" s="455" t="str">
        <f t="shared" si="18"/>
        <v/>
      </c>
    </row>
    <row r="395" spans="1:13" ht="15.75" customHeight="1">
      <c r="A395" s="523" t="s">
        <v>362</v>
      </c>
      <c r="B395" s="474" t="s">
        <v>2242</v>
      </c>
      <c r="C395" s="523" t="s">
        <v>2243</v>
      </c>
      <c r="D395" s="453" t="str">
        <f t="shared" si="17"/>
        <v>EGY Ägypten</v>
      </c>
      <c r="E395" s="524" t="s">
        <v>2244</v>
      </c>
      <c r="F395" s="454" t="s">
        <v>2245</v>
      </c>
      <c r="G395" s="460" t="s">
        <v>2246</v>
      </c>
      <c r="H395" s="454" t="s">
        <v>2247</v>
      </c>
      <c r="I395" s="454" t="s">
        <v>2248</v>
      </c>
      <c r="J395" s="454" t="str">
        <f t="shared" si="13"/>
        <v>[pt]Ägypten</v>
      </c>
      <c r="K395" s="454" t="str">
        <f t="shared" si="14"/>
        <v>[gr]Ägypten</v>
      </c>
      <c r="L395" s="525" t="s">
        <v>362</v>
      </c>
      <c r="M395" s="455" t="str">
        <f t="shared" si="18"/>
        <v/>
      </c>
    </row>
    <row r="396" spans="1:13" ht="15.75" customHeight="1">
      <c r="A396" s="523" t="s">
        <v>364</v>
      </c>
      <c r="B396" s="474" t="s">
        <v>2249</v>
      </c>
      <c r="C396" s="523" t="s">
        <v>2250</v>
      </c>
      <c r="D396" s="453" t="str">
        <f t="shared" si="17"/>
        <v>ERI Eritrea</v>
      </c>
      <c r="E396" s="524" t="s">
        <v>363</v>
      </c>
      <c r="F396" s="454" t="s">
        <v>2251</v>
      </c>
      <c r="G396" s="460" t="s">
        <v>2251</v>
      </c>
      <c r="H396" s="454" t="s">
        <v>363</v>
      </c>
      <c r="I396" s="454" t="s">
        <v>2252</v>
      </c>
      <c r="J396" s="454" t="str">
        <f t="shared" si="13"/>
        <v>[pt]Eritrea</v>
      </c>
      <c r="K396" s="454" t="str">
        <f t="shared" si="14"/>
        <v>[gr]Eritrea</v>
      </c>
      <c r="L396" s="525" t="s">
        <v>364</v>
      </c>
      <c r="M396" s="455" t="str">
        <f t="shared" si="18"/>
        <v/>
      </c>
    </row>
    <row r="397" spans="1:13" ht="15.75" customHeight="1">
      <c r="A397" s="523" t="s">
        <v>366</v>
      </c>
      <c r="B397" s="474" t="s">
        <v>2253</v>
      </c>
      <c r="C397" s="523" t="s">
        <v>2254</v>
      </c>
      <c r="D397" s="453" t="str">
        <f t="shared" si="17"/>
        <v>ESP Spanien</v>
      </c>
      <c r="E397" s="524" t="s">
        <v>2255</v>
      </c>
      <c r="F397" s="454" t="s">
        <v>2256</v>
      </c>
      <c r="G397" s="460" t="s">
        <v>2257</v>
      </c>
      <c r="H397" s="454" t="s">
        <v>2258</v>
      </c>
      <c r="I397" s="454" t="s">
        <v>2259</v>
      </c>
      <c r="J397" s="454" t="str">
        <f t="shared" si="13"/>
        <v>[pt]Spanien</v>
      </c>
      <c r="K397" s="454" t="str">
        <f t="shared" si="14"/>
        <v>[gr]Spanien</v>
      </c>
      <c r="L397" s="525" t="s">
        <v>366</v>
      </c>
      <c r="M397" s="455" t="str">
        <f t="shared" si="18"/>
        <v/>
      </c>
    </row>
    <row r="398" spans="1:13" ht="15.75" customHeight="1">
      <c r="A398" s="523" t="s">
        <v>368</v>
      </c>
      <c r="B398" s="474" t="s">
        <v>2260</v>
      </c>
      <c r="C398" s="523" t="s">
        <v>2261</v>
      </c>
      <c r="D398" s="453" t="str">
        <f t="shared" si="17"/>
        <v>EST Estland</v>
      </c>
      <c r="E398" s="524" t="s">
        <v>2262</v>
      </c>
      <c r="F398" s="454" t="s">
        <v>2263</v>
      </c>
      <c r="G398" s="460" t="s">
        <v>2263</v>
      </c>
      <c r="H398" s="454" t="s">
        <v>367</v>
      </c>
      <c r="I398" s="454" t="s">
        <v>2264</v>
      </c>
      <c r="J398" s="454" t="str">
        <f t="shared" si="13"/>
        <v>[pt]Estland</v>
      </c>
      <c r="K398" s="454" t="str">
        <f t="shared" si="14"/>
        <v>[gr]Estland</v>
      </c>
      <c r="L398" s="525" t="s">
        <v>368</v>
      </c>
      <c r="M398" s="455" t="str">
        <f t="shared" si="18"/>
        <v/>
      </c>
    </row>
    <row r="399" spans="1:13" ht="15.75" customHeight="1">
      <c r="A399" s="523" t="s">
        <v>370</v>
      </c>
      <c r="B399" s="474" t="s">
        <v>2265</v>
      </c>
      <c r="C399" s="523" t="s">
        <v>2266</v>
      </c>
      <c r="D399" s="453" t="str">
        <f t="shared" si="17"/>
        <v>ETH Äthiopien</v>
      </c>
      <c r="E399" s="524" t="s">
        <v>2267</v>
      </c>
      <c r="F399" s="454" t="s">
        <v>2268</v>
      </c>
      <c r="G399" s="460" t="s">
        <v>2269</v>
      </c>
      <c r="H399" s="454" t="s">
        <v>2270</v>
      </c>
      <c r="I399" s="454" t="s">
        <v>2271</v>
      </c>
      <c r="J399" s="454" t="str">
        <f t="shared" si="13"/>
        <v>[pt]Äthiopien</v>
      </c>
      <c r="K399" s="454" t="str">
        <f t="shared" si="14"/>
        <v>[gr]Äthiopien</v>
      </c>
      <c r="L399" s="525" t="s">
        <v>370</v>
      </c>
      <c r="M399" s="455" t="str">
        <f t="shared" si="18"/>
        <v/>
      </c>
    </row>
    <row r="400" spans="1:13" ht="15.75" customHeight="1">
      <c r="A400" s="523" t="s">
        <v>372</v>
      </c>
      <c r="B400" s="474" t="s">
        <v>2272</v>
      </c>
      <c r="C400" s="523" t="s">
        <v>2273</v>
      </c>
      <c r="D400" s="453" t="str">
        <f t="shared" si="17"/>
        <v>FIN Finnland</v>
      </c>
      <c r="E400" s="524" t="s">
        <v>2274</v>
      </c>
      <c r="F400" s="454" t="s">
        <v>2275</v>
      </c>
      <c r="G400" s="460" t="s">
        <v>2276</v>
      </c>
      <c r="H400" s="454" t="s">
        <v>2277</v>
      </c>
      <c r="I400" s="454" t="s">
        <v>2278</v>
      </c>
      <c r="J400" s="454" t="str">
        <f t="shared" si="13"/>
        <v>[pt]Finnland</v>
      </c>
      <c r="K400" s="454" t="str">
        <f t="shared" si="14"/>
        <v>[gr]Finnland</v>
      </c>
      <c r="L400" s="525" t="s">
        <v>372</v>
      </c>
      <c r="M400" s="455" t="str">
        <f t="shared" si="18"/>
        <v/>
      </c>
    </row>
    <row r="401" spans="1:13" ht="28.5" customHeight="1">
      <c r="A401" s="523" t="s">
        <v>374</v>
      </c>
      <c r="B401" s="474" t="s">
        <v>2279</v>
      </c>
      <c r="C401" s="523" t="s">
        <v>2280</v>
      </c>
      <c r="D401" s="453" t="str">
        <f t="shared" si="17"/>
        <v>FJI Fidschi</v>
      </c>
      <c r="E401" s="524" t="s">
        <v>2281</v>
      </c>
      <c r="F401" s="454" t="s">
        <v>2282</v>
      </c>
      <c r="G401" s="460" t="s">
        <v>2283</v>
      </c>
      <c r="H401" s="454" t="s">
        <v>2284</v>
      </c>
      <c r="I401" s="454" t="s">
        <v>373</v>
      </c>
      <c r="J401" s="454" t="str">
        <f t="shared" si="13"/>
        <v>[pt]Fidschi</v>
      </c>
      <c r="K401" s="454" t="str">
        <f t="shared" si="14"/>
        <v>[gr]Fidschi</v>
      </c>
      <c r="L401" s="525" t="s">
        <v>374</v>
      </c>
      <c r="M401" s="455" t="str">
        <f t="shared" si="18"/>
        <v/>
      </c>
    </row>
    <row r="402" spans="1:13" ht="15.75" customHeight="1">
      <c r="A402" s="523" t="s">
        <v>376</v>
      </c>
      <c r="B402" s="474" t="s">
        <v>2285</v>
      </c>
      <c r="C402" s="523" t="s">
        <v>2286</v>
      </c>
      <c r="D402" s="453" t="str">
        <f t="shared" si="17"/>
        <v>FRA Frankreich</v>
      </c>
      <c r="E402" s="524" t="s">
        <v>2287</v>
      </c>
      <c r="F402" s="454" t="s">
        <v>2288</v>
      </c>
      <c r="G402" s="460" t="s">
        <v>2289</v>
      </c>
      <c r="H402" s="454" t="s">
        <v>2290</v>
      </c>
      <c r="I402" s="454" t="s">
        <v>375</v>
      </c>
      <c r="J402" s="454" t="str">
        <f t="shared" si="13"/>
        <v>[pt]Frankreich</v>
      </c>
      <c r="K402" s="454" t="str">
        <f t="shared" si="14"/>
        <v>[gr]Frankreich</v>
      </c>
      <c r="L402" s="525" t="s">
        <v>376</v>
      </c>
      <c r="M402" s="455" t="str">
        <f t="shared" si="18"/>
        <v/>
      </c>
    </row>
    <row r="403" spans="1:13" ht="15.75" customHeight="1">
      <c r="A403" s="523" t="s">
        <v>378</v>
      </c>
      <c r="B403" s="474" t="s">
        <v>2291</v>
      </c>
      <c r="C403" s="523" t="s">
        <v>2292</v>
      </c>
      <c r="D403" s="453" t="str">
        <f t="shared" si="17"/>
        <v>FRO Färöer</v>
      </c>
      <c r="E403" s="524" t="s">
        <v>2293</v>
      </c>
      <c r="F403" s="454" t="s">
        <v>2294</v>
      </c>
      <c r="G403" s="460" t="s">
        <v>2295</v>
      </c>
      <c r="H403" s="454" t="s">
        <v>2296</v>
      </c>
      <c r="I403" s="454" t="s">
        <v>2297</v>
      </c>
      <c r="J403" s="454" t="str">
        <f t="shared" si="13"/>
        <v>[pt]Färöer</v>
      </c>
      <c r="K403" s="454" t="str">
        <f t="shared" si="14"/>
        <v>[gr]Färöer</v>
      </c>
      <c r="L403" s="525" t="s">
        <v>378</v>
      </c>
      <c r="M403" s="455" t="str">
        <f t="shared" si="18"/>
        <v/>
      </c>
    </row>
    <row r="404" spans="1:13" ht="15.75" customHeight="1">
      <c r="A404" s="523" t="s">
        <v>380</v>
      </c>
      <c r="B404" s="474" t="s">
        <v>2298</v>
      </c>
      <c r="C404" s="523" t="s">
        <v>2299</v>
      </c>
      <c r="D404" s="453" t="str">
        <f t="shared" si="17"/>
        <v>FSM Mikronesien</v>
      </c>
      <c r="E404" s="524" t="s">
        <v>2300</v>
      </c>
      <c r="F404" s="454" t="s">
        <v>2301</v>
      </c>
      <c r="G404" s="460" t="s">
        <v>2302</v>
      </c>
      <c r="H404" s="454" t="s">
        <v>2303</v>
      </c>
      <c r="I404" s="454" t="s">
        <v>2304</v>
      </c>
      <c r="J404" s="454" t="str">
        <f t="shared" si="13"/>
        <v>[pt]Mikronesien</v>
      </c>
      <c r="K404" s="454" t="str">
        <f t="shared" si="14"/>
        <v>[gr]Mikronesien</v>
      </c>
      <c r="L404" s="525" t="s">
        <v>380</v>
      </c>
      <c r="M404" s="455" t="str">
        <f t="shared" si="18"/>
        <v/>
      </c>
    </row>
    <row r="405" spans="1:13" ht="15.75" customHeight="1">
      <c r="A405" s="523" t="s">
        <v>382</v>
      </c>
      <c r="B405" s="474" t="s">
        <v>2305</v>
      </c>
      <c r="C405" s="523" t="s">
        <v>2306</v>
      </c>
      <c r="D405" s="453" t="str">
        <f t="shared" si="17"/>
        <v>GAB Gabun</v>
      </c>
      <c r="E405" s="524" t="s">
        <v>2307</v>
      </c>
      <c r="F405" s="454" t="s">
        <v>2308</v>
      </c>
      <c r="G405" s="460" t="s">
        <v>2308</v>
      </c>
      <c r="H405" s="454" t="s">
        <v>2309</v>
      </c>
      <c r="I405" s="454" t="s">
        <v>381</v>
      </c>
      <c r="J405" s="454" t="str">
        <f t="shared" si="13"/>
        <v>[pt]Gabun</v>
      </c>
      <c r="K405" s="454" t="str">
        <f t="shared" si="14"/>
        <v>[gr]Gabun</v>
      </c>
      <c r="L405" s="525" t="s">
        <v>382</v>
      </c>
      <c r="M405" s="455" t="str">
        <f t="shared" si="18"/>
        <v/>
      </c>
    </row>
    <row r="406" spans="1:13" ht="15.75" customHeight="1">
      <c r="A406" s="523" t="s">
        <v>384</v>
      </c>
      <c r="B406" s="474" t="s">
        <v>2310</v>
      </c>
      <c r="C406" s="523" t="s">
        <v>2311</v>
      </c>
      <c r="D406" s="453" t="str">
        <f t="shared" si="17"/>
        <v>GBR Vereinigtes Königreich Großbritannien und Nordirland</v>
      </c>
      <c r="E406" s="524" t="s">
        <v>2312</v>
      </c>
      <c r="F406" s="454" t="s">
        <v>2313</v>
      </c>
      <c r="G406" s="460" t="s">
        <v>2314</v>
      </c>
      <c r="H406" s="454" t="s">
        <v>2315</v>
      </c>
      <c r="I406" s="454" t="s">
        <v>2316</v>
      </c>
      <c r="J406" s="454" t="str">
        <f t="shared" si="13"/>
        <v>[pt]Vereinigtes Königreich Großbritannien und Nordirland</v>
      </c>
      <c r="K406" s="454" t="str">
        <f t="shared" si="14"/>
        <v>[gr]Vereinigtes Königreich Großbritannien und Nordirland</v>
      </c>
      <c r="L406" s="525" t="s">
        <v>384</v>
      </c>
      <c r="M406" s="455" t="str">
        <f t="shared" si="18"/>
        <v/>
      </c>
    </row>
    <row r="407" spans="1:13" ht="15.75" customHeight="1">
      <c r="A407" s="523" t="s">
        <v>386</v>
      </c>
      <c r="B407" s="474" t="s">
        <v>2317</v>
      </c>
      <c r="C407" s="523" t="s">
        <v>2318</v>
      </c>
      <c r="D407" s="453" t="str">
        <f t="shared" si="17"/>
        <v>GEO Georgien</v>
      </c>
      <c r="E407" s="524" t="s">
        <v>2319</v>
      </c>
      <c r="F407" s="454" t="s">
        <v>2320</v>
      </c>
      <c r="G407" s="460" t="s">
        <v>2320</v>
      </c>
      <c r="H407" s="454" t="s">
        <v>385</v>
      </c>
      <c r="I407" s="454" t="s">
        <v>2321</v>
      </c>
      <c r="J407" s="454" t="str">
        <f t="shared" si="13"/>
        <v>[pt]Georgien</v>
      </c>
      <c r="K407" s="454" t="str">
        <f t="shared" si="14"/>
        <v>[gr]Georgien</v>
      </c>
      <c r="L407" s="525" t="s">
        <v>386</v>
      </c>
      <c r="M407" s="455" t="str">
        <f t="shared" si="18"/>
        <v/>
      </c>
    </row>
    <row r="408" spans="1:13" ht="15.75" customHeight="1">
      <c r="A408" s="523" t="s">
        <v>388</v>
      </c>
      <c r="B408" s="474" t="s">
        <v>2322</v>
      </c>
      <c r="C408" s="523" t="s">
        <v>2323</v>
      </c>
      <c r="D408" s="453" t="str">
        <f t="shared" si="17"/>
        <v>GHA Ghana</v>
      </c>
      <c r="E408" s="524" t="s">
        <v>387</v>
      </c>
      <c r="F408" s="454" t="s">
        <v>2324</v>
      </c>
      <c r="G408" s="460" t="s">
        <v>2324</v>
      </c>
      <c r="H408" s="454" t="s">
        <v>387</v>
      </c>
      <c r="I408" s="454" t="s">
        <v>387</v>
      </c>
      <c r="J408" s="454" t="str">
        <f t="shared" si="13"/>
        <v>[pt]Ghana</v>
      </c>
      <c r="K408" s="454" t="str">
        <f t="shared" si="14"/>
        <v>[gr]Ghana</v>
      </c>
      <c r="L408" s="525" t="s">
        <v>388</v>
      </c>
      <c r="M408" s="455" t="str">
        <f t="shared" si="18"/>
        <v/>
      </c>
    </row>
    <row r="409" spans="1:13" ht="15.75" customHeight="1">
      <c r="A409" s="523" t="s">
        <v>390</v>
      </c>
      <c r="B409" s="474" t="s">
        <v>2325</v>
      </c>
      <c r="C409" s="523" t="s">
        <v>2326</v>
      </c>
      <c r="D409" s="453" t="str">
        <f t="shared" si="17"/>
        <v>GIB Gibraltar</v>
      </c>
      <c r="E409" s="524" t="s">
        <v>389</v>
      </c>
      <c r="F409" s="454" t="s">
        <v>2327</v>
      </c>
      <c r="G409" s="460" t="s">
        <v>2328</v>
      </c>
      <c r="H409" s="454" t="s">
        <v>389</v>
      </c>
      <c r="I409" s="454" t="s">
        <v>2329</v>
      </c>
      <c r="J409" s="454" t="str">
        <f t="shared" si="13"/>
        <v>[pt]Gibraltar</v>
      </c>
      <c r="K409" s="454" t="str">
        <f t="shared" si="14"/>
        <v>[gr]Gibraltar</v>
      </c>
      <c r="L409" s="525" t="s">
        <v>390</v>
      </c>
      <c r="M409" s="455" t="str">
        <f t="shared" si="18"/>
        <v/>
      </c>
    </row>
    <row r="410" spans="1:13" ht="15.75" customHeight="1">
      <c r="A410" s="523" t="s">
        <v>392</v>
      </c>
      <c r="B410" s="474" t="s">
        <v>2330</v>
      </c>
      <c r="C410" s="523" t="s">
        <v>2331</v>
      </c>
      <c r="D410" s="453" t="str">
        <f t="shared" si="17"/>
        <v>GIN Guinea</v>
      </c>
      <c r="E410" s="524" t="s">
        <v>391</v>
      </c>
      <c r="F410" s="454" t="s">
        <v>2332</v>
      </c>
      <c r="G410" s="460" t="s">
        <v>2332</v>
      </c>
      <c r="H410" s="454" t="s">
        <v>391</v>
      </c>
      <c r="I410" s="454" t="s">
        <v>2333</v>
      </c>
      <c r="J410" s="454" t="str">
        <f t="shared" si="13"/>
        <v>[pt]Guinea</v>
      </c>
      <c r="K410" s="454" t="str">
        <f t="shared" si="14"/>
        <v>[gr]Guinea</v>
      </c>
      <c r="L410" s="525" t="s">
        <v>392</v>
      </c>
      <c r="M410" s="455" t="str">
        <f t="shared" si="18"/>
        <v/>
      </c>
    </row>
    <row r="411" spans="1:13" ht="15.75" customHeight="1">
      <c r="A411" s="523" t="s">
        <v>394</v>
      </c>
      <c r="B411" s="474" t="s">
        <v>2334</v>
      </c>
      <c r="C411" s="523" t="s">
        <v>2335</v>
      </c>
      <c r="D411" s="453" t="str">
        <f t="shared" si="17"/>
        <v>GMB Gambia</v>
      </c>
      <c r="E411" s="524" t="s">
        <v>2336</v>
      </c>
      <c r="F411" s="454" t="s">
        <v>2337</v>
      </c>
      <c r="G411" s="460" t="s">
        <v>2337</v>
      </c>
      <c r="H411" s="454" t="s">
        <v>2336</v>
      </c>
      <c r="I411" s="454" t="s">
        <v>2338</v>
      </c>
      <c r="J411" s="454" t="str">
        <f t="shared" si="13"/>
        <v>[pt]Gambia</v>
      </c>
      <c r="K411" s="454" t="str">
        <f t="shared" si="14"/>
        <v>[gr]Gambia</v>
      </c>
      <c r="L411" s="525" t="s">
        <v>394</v>
      </c>
      <c r="M411" s="455" t="str">
        <f t="shared" si="18"/>
        <v/>
      </c>
    </row>
    <row r="412" spans="1:13" ht="28.5" customHeight="1">
      <c r="A412" s="523" t="s">
        <v>396</v>
      </c>
      <c r="B412" s="474" t="s">
        <v>2339</v>
      </c>
      <c r="C412" s="523" t="s">
        <v>2340</v>
      </c>
      <c r="D412" s="453" t="str">
        <f t="shared" si="17"/>
        <v>GNB Guinea-Bissau</v>
      </c>
      <c r="E412" s="524" t="s">
        <v>395</v>
      </c>
      <c r="F412" s="454" t="s">
        <v>2341</v>
      </c>
      <c r="G412" s="460" t="s">
        <v>2341</v>
      </c>
      <c r="H412" s="454" t="s">
        <v>2342</v>
      </c>
      <c r="I412" s="454" t="s">
        <v>2343</v>
      </c>
      <c r="J412" s="454" t="str">
        <f t="shared" si="13"/>
        <v>[pt]Guinea-Bissau</v>
      </c>
      <c r="K412" s="454" t="str">
        <f t="shared" si="14"/>
        <v>[gr]Guinea-Bissau</v>
      </c>
      <c r="L412" s="525" t="s">
        <v>396</v>
      </c>
      <c r="M412" s="455" t="str">
        <f t="shared" si="18"/>
        <v/>
      </c>
    </row>
    <row r="413" spans="1:13" ht="15.75" customHeight="1">
      <c r="A413" s="523" t="s">
        <v>398</v>
      </c>
      <c r="B413" s="474" t="s">
        <v>2344</v>
      </c>
      <c r="C413" s="523" t="s">
        <v>2345</v>
      </c>
      <c r="D413" s="453" t="str">
        <f t="shared" si="17"/>
        <v>GNQ Äquatorialguinea</v>
      </c>
      <c r="E413" s="524" t="s">
        <v>2346</v>
      </c>
      <c r="F413" s="454" t="s">
        <v>2347</v>
      </c>
      <c r="G413" s="460" t="s">
        <v>2348</v>
      </c>
      <c r="H413" s="454" t="s">
        <v>2349</v>
      </c>
      <c r="I413" s="454" t="s">
        <v>2350</v>
      </c>
      <c r="J413" s="454" t="str">
        <f t="shared" si="13"/>
        <v>[pt]Äquatorialguinea</v>
      </c>
      <c r="K413" s="454" t="str">
        <f t="shared" si="14"/>
        <v>[gr]Äquatorialguinea</v>
      </c>
      <c r="L413" s="525" t="s">
        <v>398</v>
      </c>
      <c r="M413" s="455" t="str">
        <f t="shared" si="18"/>
        <v/>
      </c>
    </row>
    <row r="414" spans="1:13" ht="15.75" customHeight="1">
      <c r="A414" s="523" t="s">
        <v>400</v>
      </c>
      <c r="B414" s="474" t="s">
        <v>2351</v>
      </c>
      <c r="C414" s="523" t="s">
        <v>2352</v>
      </c>
      <c r="D414" s="453" t="str">
        <f t="shared" si="17"/>
        <v>GRC Griechenland</v>
      </c>
      <c r="E414" s="524" t="s">
        <v>2353</v>
      </c>
      <c r="F414" s="454" t="s">
        <v>2354</v>
      </c>
      <c r="G414" s="460" t="s">
        <v>2355</v>
      </c>
      <c r="H414" s="454" t="s">
        <v>2356</v>
      </c>
      <c r="I414" s="454" t="s">
        <v>2357</v>
      </c>
      <c r="J414" s="454" t="str">
        <f t="shared" si="13"/>
        <v>[pt]Griechenland</v>
      </c>
      <c r="K414" s="454" t="str">
        <f t="shared" si="14"/>
        <v>[gr]Griechenland</v>
      </c>
      <c r="L414" s="525" t="s">
        <v>400</v>
      </c>
      <c r="M414" s="455" t="str">
        <f t="shared" si="18"/>
        <v/>
      </c>
    </row>
    <row r="415" spans="1:13" ht="15.75" customHeight="1">
      <c r="A415" s="523" t="s">
        <v>402</v>
      </c>
      <c r="B415" s="474" t="s">
        <v>2358</v>
      </c>
      <c r="C415" s="523" t="s">
        <v>2359</v>
      </c>
      <c r="D415" s="453" t="str">
        <f t="shared" si="17"/>
        <v>GRD Grenada</v>
      </c>
      <c r="E415" s="524" t="s">
        <v>401</v>
      </c>
      <c r="F415" s="454" t="s">
        <v>2360</v>
      </c>
      <c r="G415" s="460" t="s">
        <v>2360</v>
      </c>
      <c r="H415" s="454" t="s">
        <v>2361</v>
      </c>
      <c r="I415" s="454" t="s">
        <v>2362</v>
      </c>
      <c r="J415" s="454" t="str">
        <f t="shared" si="13"/>
        <v>[pt]Grenada</v>
      </c>
      <c r="K415" s="454" t="str">
        <f t="shared" si="14"/>
        <v>[gr]Grenada</v>
      </c>
      <c r="L415" s="525" t="s">
        <v>402</v>
      </c>
      <c r="M415" s="455" t="str">
        <f t="shared" si="18"/>
        <v/>
      </c>
    </row>
    <row r="416" spans="1:13" ht="15.75" customHeight="1">
      <c r="A416" s="523" t="s">
        <v>404</v>
      </c>
      <c r="B416" s="474" t="s">
        <v>2363</v>
      </c>
      <c r="C416" s="523" t="s">
        <v>2364</v>
      </c>
      <c r="D416" s="453" t="str">
        <f t="shared" si="17"/>
        <v>GRL Grönland</v>
      </c>
      <c r="E416" s="524" t="s">
        <v>2365</v>
      </c>
      <c r="F416" s="454" t="s">
        <v>2366</v>
      </c>
      <c r="G416" s="460" t="s">
        <v>2367</v>
      </c>
      <c r="H416" s="454" t="s">
        <v>2368</v>
      </c>
      <c r="I416" s="454" t="s">
        <v>2369</v>
      </c>
      <c r="J416" s="454" t="str">
        <f t="shared" si="13"/>
        <v>[pt]Grönland</v>
      </c>
      <c r="K416" s="454" t="str">
        <f t="shared" si="14"/>
        <v>[gr]Grönland</v>
      </c>
      <c r="L416" s="525" t="s">
        <v>404</v>
      </c>
      <c r="M416" s="455" t="str">
        <f t="shared" si="18"/>
        <v/>
      </c>
    </row>
    <row r="417" spans="1:13" ht="15.75" customHeight="1">
      <c r="A417" s="523" t="s">
        <v>406</v>
      </c>
      <c r="B417" s="474" t="s">
        <v>2370</v>
      </c>
      <c r="C417" s="523" t="s">
        <v>2371</v>
      </c>
      <c r="D417" s="453" t="str">
        <f t="shared" si="17"/>
        <v>GTM Guatemala</v>
      </c>
      <c r="E417" s="524" t="s">
        <v>405</v>
      </c>
      <c r="F417" s="454" t="s">
        <v>2372</v>
      </c>
      <c r="G417" s="460" t="s">
        <v>2372</v>
      </c>
      <c r="H417" s="454" t="s">
        <v>405</v>
      </c>
      <c r="I417" s="454" t="s">
        <v>2373</v>
      </c>
      <c r="J417" s="454" t="str">
        <f t="shared" si="13"/>
        <v>[pt]Guatemala</v>
      </c>
      <c r="K417" s="454" t="str">
        <f t="shared" si="14"/>
        <v>[gr]Guatemala</v>
      </c>
      <c r="L417" s="525" t="s">
        <v>406</v>
      </c>
      <c r="M417" s="455" t="str">
        <f t="shared" si="18"/>
        <v/>
      </c>
    </row>
    <row r="418" spans="1:13" ht="15.75" customHeight="1">
      <c r="A418" s="523" t="s">
        <v>408</v>
      </c>
      <c r="B418" s="474" t="s">
        <v>2374</v>
      </c>
      <c r="C418" s="523" t="s">
        <v>2375</v>
      </c>
      <c r="D418" s="453" t="str">
        <f t="shared" si="17"/>
        <v>GUM Guam</v>
      </c>
      <c r="E418" s="524" t="s">
        <v>407</v>
      </c>
      <c r="F418" s="454" t="s">
        <v>2376</v>
      </c>
      <c r="G418" s="460" t="s">
        <v>2376</v>
      </c>
      <c r="H418" s="454" t="s">
        <v>407</v>
      </c>
      <c r="I418" s="454" t="s">
        <v>407</v>
      </c>
      <c r="J418" s="454" t="str">
        <f t="shared" si="13"/>
        <v>[pt]Guam</v>
      </c>
      <c r="K418" s="454" t="str">
        <f t="shared" si="14"/>
        <v>[gr]Guam</v>
      </c>
      <c r="L418" s="525" t="s">
        <v>408</v>
      </c>
      <c r="M418" s="455" t="str">
        <f t="shared" si="18"/>
        <v/>
      </c>
    </row>
    <row r="419" spans="1:13" ht="15.75" customHeight="1">
      <c r="A419" s="523" t="s">
        <v>410</v>
      </c>
      <c r="B419" s="474" t="s">
        <v>2377</v>
      </c>
      <c r="C419" s="523" t="s">
        <v>2378</v>
      </c>
      <c r="D419" s="453" t="str">
        <f t="shared" si="17"/>
        <v>GUY Guyana</v>
      </c>
      <c r="E419" s="524" t="s">
        <v>409</v>
      </c>
      <c r="F419" s="454" t="s">
        <v>2379</v>
      </c>
      <c r="G419" s="460" t="s">
        <v>2379</v>
      </c>
      <c r="H419" s="454" t="s">
        <v>409</v>
      </c>
      <c r="I419" s="454" t="s">
        <v>2380</v>
      </c>
      <c r="J419" s="454" t="str">
        <f t="shared" si="13"/>
        <v>[pt]Guyana</v>
      </c>
      <c r="K419" s="454" t="str">
        <f t="shared" si="14"/>
        <v>[gr]Guyana</v>
      </c>
      <c r="L419" s="525" t="s">
        <v>410</v>
      </c>
      <c r="M419" s="455" t="str">
        <f t="shared" si="18"/>
        <v/>
      </c>
    </row>
    <row r="420" spans="1:13" ht="15.75" customHeight="1">
      <c r="A420" s="523" t="s">
        <v>412</v>
      </c>
      <c r="B420" s="474" t="s">
        <v>2381</v>
      </c>
      <c r="C420" s="523" t="s">
        <v>2382</v>
      </c>
      <c r="D420" s="453" t="str">
        <f t="shared" si="17"/>
        <v>HKG Hongkong</v>
      </c>
      <c r="E420" s="524" t="s">
        <v>2383</v>
      </c>
      <c r="F420" s="454" t="s">
        <v>2384</v>
      </c>
      <c r="G420" s="460" t="s">
        <v>2384</v>
      </c>
      <c r="H420" s="454" t="s">
        <v>2385</v>
      </c>
      <c r="I420" s="454" t="s">
        <v>2385</v>
      </c>
      <c r="J420" s="454" t="str">
        <f t="shared" si="13"/>
        <v>[pt]Hongkong</v>
      </c>
      <c r="K420" s="454" t="str">
        <f t="shared" si="14"/>
        <v>[gr]Hongkong</v>
      </c>
      <c r="L420" s="525" t="s">
        <v>412</v>
      </c>
      <c r="M420" s="455" t="str">
        <f t="shared" si="18"/>
        <v/>
      </c>
    </row>
    <row r="421" spans="1:13" ht="15.75" customHeight="1">
      <c r="A421" s="523" t="s">
        <v>414</v>
      </c>
      <c r="B421" s="474" t="s">
        <v>2386</v>
      </c>
      <c r="C421" s="523" t="s">
        <v>2387</v>
      </c>
      <c r="D421" s="453" t="str">
        <f t="shared" si="17"/>
        <v>HND Honduras</v>
      </c>
      <c r="E421" s="524" t="s">
        <v>413</v>
      </c>
      <c r="F421" s="454" t="s">
        <v>2388</v>
      </c>
      <c r="G421" s="460" t="s">
        <v>2388</v>
      </c>
      <c r="H421" s="454" t="s">
        <v>413</v>
      </c>
      <c r="I421" s="454" t="s">
        <v>413</v>
      </c>
      <c r="J421" s="454" t="str">
        <f t="shared" si="13"/>
        <v>[pt]Honduras</v>
      </c>
      <c r="K421" s="454" t="str">
        <f t="shared" si="14"/>
        <v>[gr]Honduras</v>
      </c>
      <c r="L421" s="525" t="s">
        <v>414</v>
      </c>
      <c r="M421" s="455" t="str">
        <f t="shared" si="18"/>
        <v/>
      </c>
    </row>
    <row r="422" spans="1:13" ht="15.75" customHeight="1">
      <c r="A422" s="523" t="s">
        <v>416</v>
      </c>
      <c r="B422" s="474" t="s">
        <v>2389</v>
      </c>
      <c r="C422" s="523" t="s">
        <v>2390</v>
      </c>
      <c r="D422" s="453" t="str">
        <f t="shared" si="17"/>
        <v>HRV Kroatien</v>
      </c>
      <c r="E422" s="524" t="s">
        <v>2391</v>
      </c>
      <c r="F422" s="454" t="s">
        <v>2392</v>
      </c>
      <c r="G422" s="460" t="s">
        <v>2393</v>
      </c>
      <c r="H422" s="454" t="s">
        <v>2394</v>
      </c>
      <c r="I422" s="454" t="s">
        <v>2395</v>
      </c>
      <c r="J422" s="454" t="str">
        <f t="shared" si="13"/>
        <v>[pt]Kroatien</v>
      </c>
      <c r="K422" s="454" t="str">
        <f t="shared" si="14"/>
        <v>[gr]Kroatien</v>
      </c>
      <c r="L422" s="525" t="s">
        <v>416</v>
      </c>
      <c r="M422" s="455" t="str">
        <f t="shared" si="18"/>
        <v/>
      </c>
    </row>
    <row r="423" spans="1:13" ht="15.75" customHeight="1">
      <c r="A423" s="523" t="s">
        <v>418</v>
      </c>
      <c r="B423" s="474" t="s">
        <v>2396</v>
      </c>
      <c r="C423" s="523" t="s">
        <v>2397</v>
      </c>
      <c r="D423" s="453" t="str">
        <f t="shared" si="17"/>
        <v>HTI Haiti</v>
      </c>
      <c r="E423" s="524" t="s">
        <v>417</v>
      </c>
      <c r="F423" s="454" t="s">
        <v>2398</v>
      </c>
      <c r="G423" s="460" t="s">
        <v>2398</v>
      </c>
      <c r="H423" s="454" t="s">
        <v>2399</v>
      </c>
      <c r="I423" s="454" t="s">
        <v>2400</v>
      </c>
      <c r="J423" s="454" t="str">
        <f t="shared" si="13"/>
        <v>[pt]Haiti</v>
      </c>
      <c r="K423" s="454" t="str">
        <f t="shared" si="14"/>
        <v>[gr]Haiti</v>
      </c>
      <c r="L423" s="525" t="s">
        <v>418</v>
      </c>
      <c r="M423" s="455" t="str">
        <f t="shared" si="18"/>
        <v/>
      </c>
    </row>
    <row r="424" spans="1:13" ht="15.75" customHeight="1">
      <c r="A424" s="523" t="s">
        <v>420</v>
      </c>
      <c r="B424" s="474" t="s">
        <v>2401</v>
      </c>
      <c r="C424" s="523" t="s">
        <v>2402</v>
      </c>
      <c r="D424" s="453" t="str">
        <f t="shared" si="17"/>
        <v>HUN Ungarn</v>
      </c>
      <c r="E424" s="524" t="s">
        <v>2403</v>
      </c>
      <c r="F424" s="454" t="s">
        <v>2404</v>
      </c>
      <c r="G424" s="460" t="s">
        <v>2405</v>
      </c>
      <c r="H424" s="454" t="s">
        <v>2406</v>
      </c>
      <c r="I424" s="454" t="s">
        <v>2407</v>
      </c>
      <c r="J424" s="454" t="str">
        <f t="shared" si="13"/>
        <v>[pt]Ungarn</v>
      </c>
      <c r="K424" s="454" t="str">
        <f t="shared" si="14"/>
        <v>[gr]Ungarn</v>
      </c>
      <c r="L424" s="525" t="s">
        <v>420</v>
      </c>
      <c r="M424" s="455" t="str">
        <f t="shared" si="18"/>
        <v/>
      </c>
    </row>
    <row r="425" spans="1:13" ht="15.75" customHeight="1">
      <c r="A425" s="523" t="s">
        <v>422</v>
      </c>
      <c r="B425" s="474" t="s">
        <v>2408</v>
      </c>
      <c r="C425" s="523" t="s">
        <v>2409</v>
      </c>
      <c r="D425" s="453" t="str">
        <f t="shared" si="17"/>
        <v>IDN Indonesien</v>
      </c>
      <c r="E425" s="524" t="s">
        <v>2410</v>
      </c>
      <c r="F425" s="454" t="s">
        <v>2411</v>
      </c>
      <c r="G425" s="526" t="s">
        <v>2411</v>
      </c>
      <c r="H425" s="526" t="s">
        <v>421</v>
      </c>
      <c r="I425" s="526" t="s">
        <v>2412</v>
      </c>
      <c r="J425" s="454" t="str">
        <f t="shared" si="13"/>
        <v>[pt]Indonesien</v>
      </c>
      <c r="K425" s="454" t="str">
        <f t="shared" si="14"/>
        <v>[gr]Indonesien</v>
      </c>
      <c r="L425" s="525" t="s">
        <v>422</v>
      </c>
      <c r="M425" s="455" t="str">
        <f t="shared" si="18"/>
        <v/>
      </c>
    </row>
    <row r="426" spans="1:13" ht="15.75" customHeight="1">
      <c r="A426" s="523" t="s">
        <v>424</v>
      </c>
      <c r="B426" s="474" t="s">
        <v>2413</v>
      </c>
      <c r="C426" s="523" t="s">
        <v>2414</v>
      </c>
      <c r="D426" s="453" t="str">
        <f t="shared" si="17"/>
        <v>IMN Insel Man</v>
      </c>
      <c r="E426" s="451" t="s">
        <v>2415</v>
      </c>
      <c r="F426" s="454" t="s">
        <v>2416</v>
      </c>
      <c r="G426" s="451" t="s">
        <v>2417</v>
      </c>
      <c r="H426" s="451" t="s">
        <v>2418</v>
      </c>
      <c r="I426" s="451" t="s">
        <v>2419</v>
      </c>
      <c r="J426" s="454" t="str">
        <f t="shared" si="13"/>
        <v>[pt]Insel Man</v>
      </c>
      <c r="K426" s="454" t="str">
        <f t="shared" si="14"/>
        <v>[gr]Insel Man</v>
      </c>
      <c r="L426" s="525" t="s">
        <v>424</v>
      </c>
      <c r="M426" s="455" t="str">
        <f t="shared" si="18"/>
        <v/>
      </c>
    </row>
    <row r="427" spans="1:13" ht="15.75" customHeight="1">
      <c r="A427" s="523" t="s">
        <v>426</v>
      </c>
      <c r="B427" s="474" t="s">
        <v>2420</v>
      </c>
      <c r="C427" s="523" t="s">
        <v>2421</v>
      </c>
      <c r="D427" s="453" t="str">
        <f t="shared" si="17"/>
        <v>IND Indien</v>
      </c>
      <c r="E427" s="451" t="s">
        <v>2422</v>
      </c>
      <c r="F427" s="454" t="s">
        <v>2423</v>
      </c>
      <c r="G427" s="451" t="s">
        <v>2423</v>
      </c>
      <c r="H427" s="451" t="s">
        <v>425</v>
      </c>
      <c r="I427" s="451" t="s">
        <v>2424</v>
      </c>
      <c r="J427" s="454" t="str">
        <f t="shared" si="13"/>
        <v>[pt]Indien</v>
      </c>
      <c r="K427" s="454" t="str">
        <f t="shared" si="14"/>
        <v>[gr]Indien</v>
      </c>
      <c r="L427" s="525" t="s">
        <v>426</v>
      </c>
      <c r="M427" s="455" t="str">
        <f t="shared" si="18"/>
        <v/>
      </c>
    </row>
    <row r="428" spans="1:13" ht="15.75" customHeight="1">
      <c r="A428" s="523" t="s">
        <v>428</v>
      </c>
      <c r="B428" s="474" t="s">
        <v>2425</v>
      </c>
      <c r="C428" s="523" t="s">
        <v>2426</v>
      </c>
      <c r="D428" s="453" t="str">
        <f t="shared" si="17"/>
        <v>IRL Irland</v>
      </c>
      <c r="E428" s="524" t="s">
        <v>2427</v>
      </c>
      <c r="F428" s="454" t="s">
        <v>2428</v>
      </c>
      <c r="G428" s="526" t="s">
        <v>2429</v>
      </c>
      <c r="H428" s="526" t="s">
        <v>2430</v>
      </c>
      <c r="I428" s="526" t="s">
        <v>2431</v>
      </c>
      <c r="J428" s="454" t="str">
        <f t="shared" si="13"/>
        <v>[pt]Irland</v>
      </c>
      <c r="K428" s="454" t="str">
        <f t="shared" si="14"/>
        <v>[gr]Irland</v>
      </c>
      <c r="L428" s="525" t="s">
        <v>428</v>
      </c>
      <c r="M428" s="455" t="str">
        <f t="shared" si="18"/>
        <v/>
      </c>
    </row>
    <row r="429" spans="1:13" ht="15.75" customHeight="1">
      <c r="A429" s="523" t="s">
        <v>430</v>
      </c>
      <c r="B429" s="474" t="s">
        <v>2432</v>
      </c>
      <c r="C429" s="523" t="s">
        <v>2433</v>
      </c>
      <c r="D429" s="453" t="str">
        <f t="shared" si="17"/>
        <v>IRN Iran, Islamische Republik</v>
      </c>
      <c r="E429" s="451" t="s">
        <v>2434</v>
      </c>
      <c r="F429" s="454" t="s">
        <v>2435</v>
      </c>
      <c r="G429" s="451" t="s">
        <v>2436</v>
      </c>
      <c r="H429" s="451" t="s">
        <v>2437</v>
      </c>
      <c r="I429" s="451" t="s">
        <v>2438</v>
      </c>
      <c r="J429" s="454" t="str">
        <f t="shared" si="13"/>
        <v>[pt]Iran, Islamische Republik</v>
      </c>
      <c r="K429" s="454" t="str">
        <f t="shared" si="14"/>
        <v>[gr]Iran, Islamische Republik</v>
      </c>
      <c r="L429" s="525" t="s">
        <v>430</v>
      </c>
      <c r="M429" s="455" t="str">
        <f t="shared" si="18"/>
        <v/>
      </c>
    </row>
    <row r="430" spans="1:13" ht="15.75" customHeight="1">
      <c r="A430" s="523" t="s">
        <v>432</v>
      </c>
      <c r="B430" s="474" t="s">
        <v>2439</v>
      </c>
      <c r="C430" s="523" t="s">
        <v>2440</v>
      </c>
      <c r="D430" s="453" t="str">
        <f t="shared" si="17"/>
        <v>IRQ Irak</v>
      </c>
      <c r="E430" s="451" t="s">
        <v>2441</v>
      </c>
      <c r="F430" s="454" t="s">
        <v>2442</v>
      </c>
      <c r="G430" s="451" t="s">
        <v>2442</v>
      </c>
      <c r="H430" s="451" t="s">
        <v>2441</v>
      </c>
      <c r="I430" s="451" t="s">
        <v>2441</v>
      </c>
      <c r="J430" s="454" t="str">
        <f t="shared" si="13"/>
        <v>[pt]Irak</v>
      </c>
      <c r="K430" s="454" t="str">
        <f t="shared" si="14"/>
        <v>[gr]Irak</v>
      </c>
      <c r="L430" s="525" t="s">
        <v>432</v>
      </c>
      <c r="M430" s="455" t="str">
        <f t="shared" si="18"/>
        <v/>
      </c>
    </row>
    <row r="431" spans="1:13" ht="15.75" customHeight="1">
      <c r="A431" s="523" t="s">
        <v>434</v>
      </c>
      <c r="B431" s="474" t="s">
        <v>2443</v>
      </c>
      <c r="C431" s="523" t="s">
        <v>2444</v>
      </c>
      <c r="D431" s="453" t="str">
        <f t="shared" si="17"/>
        <v>ISL Island</v>
      </c>
      <c r="E431" s="451" t="s">
        <v>2445</v>
      </c>
      <c r="F431" s="454" t="s">
        <v>2446</v>
      </c>
      <c r="G431" s="451" t="s">
        <v>2447</v>
      </c>
      <c r="H431" s="451" t="s">
        <v>2448</v>
      </c>
      <c r="I431" s="451" t="s">
        <v>2449</v>
      </c>
      <c r="J431" s="454" t="str">
        <f t="shared" si="13"/>
        <v>[pt]Island</v>
      </c>
      <c r="K431" s="454" t="str">
        <f t="shared" si="14"/>
        <v>[gr]Island</v>
      </c>
      <c r="L431" s="525" t="s">
        <v>434</v>
      </c>
      <c r="M431" s="455" t="str">
        <f t="shared" si="18"/>
        <v/>
      </c>
    </row>
    <row r="432" spans="1:13" ht="15.75" customHeight="1">
      <c r="A432" s="523" t="s">
        <v>436</v>
      </c>
      <c r="B432" s="474" t="s">
        <v>2450</v>
      </c>
      <c r="C432" s="523" t="s">
        <v>2451</v>
      </c>
      <c r="D432" s="453" t="str">
        <f t="shared" si="17"/>
        <v>ISR Israel</v>
      </c>
      <c r="E432" s="451" t="s">
        <v>435</v>
      </c>
      <c r="F432" s="454" t="s">
        <v>2452</v>
      </c>
      <c r="G432" s="451" t="s">
        <v>2453</v>
      </c>
      <c r="H432" s="451" t="s">
        <v>435</v>
      </c>
      <c r="I432" s="451" t="s">
        <v>2454</v>
      </c>
      <c r="J432" s="454" t="str">
        <f t="shared" si="13"/>
        <v>[pt]Israel</v>
      </c>
      <c r="K432" s="454" t="str">
        <f t="shared" si="14"/>
        <v>[gr]Israel</v>
      </c>
      <c r="L432" s="525" t="s">
        <v>436</v>
      </c>
      <c r="M432" s="455" t="str">
        <f t="shared" si="18"/>
        <v/>
      </c>
    </row>
    <row r="433" spans="1:13" ht="15.75" customHeight="1">
      <c r="A433" s="523" t="s">
        <v>438</v>
      </c>
      <c r="B433" s="474" t="s">
        <v>2455</v>
      </c>
      <c r="C433" s="523" t="s">
        <v>2456</v>
      </c>
      <c r="D433" s="453" t="str">
        <f t="shared" si="17"/>
        <v>ITA Italien</v>
      </c>
      <c r="E433" s="451" t="s">
        <v>2457</v>
      </c>
      <c r="F433" s="454" t="s">
        <v>2458</v>
      </c>
      <c r="G433" s="451" t="s">
        <v>2459</v>
      </c>
      <c r="H433" s="451" t="s">
        <v>2460</v>
      </c>
      <c r="I433" s="451" t="s">
        <v>2461</v>
      </c>
      <c r="J433" s="454" t="str">
        <f t="shared" si="13"/>
        <v>[pt]Italien</v>
      </c>
      <c r="K433" s="454" t="str">
        <f t="shared" si="14"/>
        <v>[gr]Italien</v>
      </c>
      <c r="L433" s="525" t="s">
        <v>438</v>
      </c>
      <c r="M433" s="455" t="str">
        <f t="shared" si="18"/>
        <v/>
      </c>
    </row>
    <row r="434" spans="1:13" ht="15.75" customHeight="1">
      <c r="A434" s="523" t="s">
        <v>440</v>
      </c>
      <c r="B434" s="474" t="s">
        <v>2462</v>
      </c>
      <c r="C434" s="523" t="s">
        <v>2463</v>
      </c>
      <c r="D434" s="453" t="str">
        <f t="shared" si="17"/>
        <v>JAM Jamaika</v>
      </c>
      <c r="E434" s="451" t="s">
        <v>2464</v>
      </c>
      <c r="F434" s="454" t="s">
        <v>2465</v>
      </c>
      <c r="G434" s="451" t="s">
        <v>2466</v>
      </c>
      <c r="H434" s="451" t="s">
        <v>439</v>
      </c>
      <c r="I434" s="451" t="s">
        <v>2467</v>
      </c>
      <c r="J434" s="454" t="str">
        <f t="shared" si="13"/>
        <v>[pt]Jamaika</v>
      </c>
      <c r="K434" s="454" t="str">
        <f t="shared" si="14"/>
        <v>[gr]Jamaika</v>
      </c>
      <c r="L434" s="525" t="s">
        <v>440</v>
      </c>
      <c r="M434" s="455" t="str">
        <f t="shared" si="18"/>
        <v/>
      </c>
    </row>
    <row r="435" spans="1:13" ht="15.75" customHeight="1">
      <c r="A435" s="523" t="s">
        <v>442</v>
      </c>
      <c r="B435" s="474" t="s">
        <v>2468</v>
      </c>
      <c r="C435" s="523" t="s">
        <v>2469</v>
      </c>
      <c r="D435" s="453" t="str">
        <f t="shared" si="17"/>
        <v>JOR Jordanien</v>
      </c>
      <c r="E435" s="451" t="s">
        <v>2470</v>
      </c>
      <c r="F435" s="454" t="s">
        <v>2471</v>
      </c>
      <c r="G435" s="451" t="s">
        <v>2472</v>
      </c>
      <c r="H435" s="451" t="s">
        <v>2473</v>
      </c>
      <c r="I435" s="451" t="s">
        <v>2474</v>
      </c>
      <c r="J435" s="454" t="str">
        <f t="shared" si="13"/>
        <v>[pt]Jordanien</v>
      </c>
      <c r="K435" s="454" t="str">
        <f t="shared" si="14"/>
        <v>[gr]Jordanien</v>
      </c>
      <c r="L435" s="525" t="s">
        <v>442</v>
      </c>
      <c r="M435" s="455" t="str">
        <f t="shared" si="18"/>
        <v/>
      </c>
    </row>
    <row r="436" spans="1:13" ht="15.75" customHeight="1">
      <c r="A436" s="523" t="s">
        <v>444</v>
      </c>
      <c r="B436" s="474" t="s">
        <v>2475</v>
      </c>
      <c r="C436" s="523" t="s">
        <v>2476</v>
      </c>
      <c r="D436" s="453" t="str">
        <f t="shared" si="17"/>
        <v>JPN Japan</v>
      </c>
      <c r="E436" s="451" t="s">
        <v>443</v>
      </c>
      <c r="F436" s="454" t="s">
        <v>2477</v>
      </c>
      <c r="G436" s="451" t="s">
        <v>2478</v>
      </c>
      <c r="H436" s="451" t="s">
        <v>2479</v>
      </c>
      <c r="I436" s="451" t="s">
        <v>2480</v>
      </c>
      <c r="J436" s="454" t="str">
        <f t="shared" si="13"/>
        <v>[pt]Japan</v>
      </c>
      <c r="K436" s="454" t="str">
        <f t="shared" si="14"/>
        <v>[gr]Japan</v>
      </c>
      <c r="L436" s="525" t="s">
        <v>444</v>
      </c>
      <c r="M436" s="455" t="str">
        <f t="shared" si="18"/>
        <v/>
      </c>
    </row>
    <row r="437" spans="1:13" ht="15.75" customHeight="1">
      <c r="A437" s="523" t="s">
        <v>446</v>
      </c>
      <c r="B437" s="474" t="s">
        <v>2481</v>
      </c>
      <c r="C437" s="523" t="s">
        <v>2482</v>
      </c>
      <c r="D437" s="453" t="str">
        <f t="shared" si="17"/>
        <v>KAZ Kasachstan</v>
      </c>
      <c r="E437" s="451" t="s">
        <v>2483</v>
      </c>
      <c r="F437" s="454" t="s">
        <v>2484</v>
      </c>
      <c r="G437" s="451" t="s">
        <v>2485</v>
      </c>
      <c r="H437" s="451" t="s">
        <v>2486</v>
      </c>
      <c r="I437" s="451" t="s">
        <v>445</v>
      </c>
      <c r="J437" s="454" t="str">
        <f t="shared" si="13"/>
        <v>[pt]Kasachstan</v>
      </c>
      <c r="K437" s="454" t="str">
        <f t="shared" si="14"/>
        <v>[gr]Kasachstan</v>
      </c>
      <c r="L437" s="525" t="s">
        <v>446</v>
      </c>
      <c r="M437" s="455" t="str">
        <f t="shared" si="18"/>
        <v/>
      </c>
    </row>
    <row r="438" spans="1:13" ht="15.75" customHeight="1">
      <c r="A438" s="523" t="s">
        <v>448</v>
      </c>
      <c r="B438" s="474" t="s">
        <v>2487</v>
      </c>
      <c r="C438" s="523" t="s">
        <v>2488</v>
      </c>
      <c r="D438" s="453" t="str">
        <f t="shared" si="17"/>
        <v>KEN Kenia</v>
      </c>
      <c r="E438" s="451" t="s">
        <v>2489</v>
      </c>
      <c r="F438" s="454" t="s">
        <v>2490</v>
      </c>
      <c r="G438" s="451" t="s">
        <v>2490</v>
      </c>
      <c r="H438" s="451" t="s">
        <v>2489</v>
      </c>
      <c r="I438" s="451" t="s">
        <v>447</v>
      </c>
      <c r="J438" s="454" t="str">
        <f t="shared" si="13"/>
        <v>[pt]Kenia</v>
      </c>
      <c r="K438" s="454" t="str">
        <f t="shared" si="14"/>
        <v>[gr]Kenia</v>
      </c>
      <c r="L438" s="525" t="s">
        <v>448</v>
      </c>
      <c r="M438" s="455" t="str">
        <f t="shared" si="18"/>
        <v/>
      </c>
    </row>
    <row r="439" spans="1:13" ht="15.75" customHeight="1">
      <c r="A439" s="523" t="s">
        <v>450</v>
      </c>
      <c r="B439" s="474" t="s">
        <v>2491</v>
      </c>
      <c r="C439" s="523" t="s">
        <v>2492</v>
      </c>
      <c r="D439" s="453" t="str">
        <f t="shared" si="17"/>
        <v>KGZ Kirgisistan</v>
      </c>
      <c r="E439" s="451" t="s">
        <v>2493</v>
      </c>
      <c r="F439" s="454" t="s">
        <v>2494</v>
      </c>
      <c r="G439" s="451" t="s">
        <v>2495</v>
      </c>
      <c r="H439" s="451" t="s">
        <v>2496</v>
      </c>
      <c r="I439" s="451" t="s">
        <v>2497</v>
      </c>
      <c r="J439" s="454" t="str">
        <f t="shared" si="13"/>
        <v>[pt]Kirgisistan</v>
      </c>
      <c r="K439" s="454" t="str">
        <f t="shared" si="14"/>
        <v>[gr]Kirgisistan</v>
      </c>
      <c r="L439" s="525" t="s">
        <v>450</v>
      </c>
      <c r="M439" s="455" t="str">
        <f t="shared" si="18"/>
        <v/>
      </c>
    </row>
    <row r="440" spans="1:13" ht="15.75" customHeight="1">
      <c r="A440" s="523" t="s">
        <v>452</v>
      </c>
      <c r="B440" s="474" t="s">
        <v>2498</v>
      </c>
      <c r="C440" s="523" t="s">
        <v>2499</v>
      </c>
      <c r="D440" s="453" t="str">
        <f t="shared" si="17"/>
        <v>KHM Kambodscha</v>
      </c>
      <c r="E440" s="451" t="s">
        <v>2500</v>
      </c>
      <c r="F440" s="454" t="s">
        <v>2501</v>
      </c>
      <c r="G440" s="451" t="s">
        <v>2502</v>
      </c>
      <c r="H440" s="451" t="s">
        <v>2503</v>
      </c>
      <c r="I440" s="451" t="s">
        <v>2504</v>
      </c>
      <c r="J440" s="454" t="str">
        <f t="shared" si="13"/>
        <v>[pt]Kambodscha</v>
      </c>
      <c r="K440" s="454" t="str">
        <f t="shared" si="14"/>
        <v>[gr]Kambodscha</v>
      </c>
      <c r="L440" s="525" t="s">
        <v>452</v>
      </c>
      <c r="M440" s="455" t="str">
        <f t="shared" si="18"/>
        <v/>
      </c>
    </row>
    <row r="441" spans="1:13" ht="28.5" customHeight="1">
      <c r="A441" s="523" t="s">
        <v>454</v>
      </c>
      <c r="B441" s="474" t="s">
        <v>2505</v>
      </c>
      <c r="C441" s="523" t="s">
        <v>2506</v>
      </c>
      <c r="D441" s="453" t="str">
        <f t="shared" si="17"/>
        <v>KIR Kiribati</v>
      </c>
      <c r="E441" s="451" t="s">
        <v>453</v>
      </c>
      <c r="F441" s="454" t="s">
        <v>2507</v>
      </c>
      <c r="G441" s="451" t="s">
        <v>2507</v>
      </c>
      <c r="H441" s="451" t="s">
        <v>453</v>
      </c>
      <c r="I441" s="451" t="s">
        <v>453</v>
      </c>
      <c r="J441" s="454" t="str">
        <f t="shared" si="13"/>
        <v>[pt]Kiribati</v>
      </c>
      <c r="K441" s="454" t="str">
        <f t="shared" si="14"/>
        <v>[gr]Kiribati</v>
      </c>
      <c r="L441" s="525" t="s">
        <v>454</v>
      </c>
      <c r="M441" s="455" t="str">
        <f t="shared" si="18"/>
        <v/>
      </c>
    </row>
    <row r="442" spans="1:13" ht="15.75" customHeight="1">
      <c r="A442" s="523" t="s">
        <v>456</v>
      </c>
      <c r="B442" s="474" t="s">
        <v>2508</v>
      </c>
      <c r="C442" s="523" t="s">
        <v>2509</v>
      </c>
      <c r="D442" s="453" t="str">
        <f t="shared" si="17"/>
        <v>KNA St. Kitts und Nevis</v>
      </c>
      <c r="E442" s="451" t="s">
        <v>2510</v>
      </c>
      <c r="F442" s="454" t="s">
        <v>2511</v>
      </c>
      <c r="G442" s="451" t="s">
        <v>2512</v>
      </c>
      <c r="H442" s="451" t="s">
        <v>2513</v>
      </c>
      <c r="I442" s="451" t="s">
        <v>2514</v>
      </c>
      <c r="J442" s="454" t="str">
        <f t="shared" si="13"/>
        <v>[pt]St. Kitts und Nevis</v>
      </c>
      <c r="K442" s="454" t="str">
        <f t="shared" si="14"/>
        <v>[gr]St. Kitts und Nevis</v>
      </c>
      <c r="L442" s="525" t="s">
        <v>456</v>
      </c>
      <c r="M442" s="455" t="str">
        <f t="shared" si="18"/>
        <v/>
      </c>
    </row>
    <row r="443" spans="1:13" ht="15.75" customHeight="1">
      <c r="A443" s="523" t="s">
        <v>458</v>
      </c>
      <c r="B443" s="474" t="s">
        <v>2515</v>
      </c>
      <c r="C443" s="523" t="s">
        <v>2516</v>
      </c>
      <c r="D443" s="453" t="str">
        <f t="shared" si="17"/>
        <v>KOR Korea, Republik (Südkorea)</v>
      </c>
      <c r="E443" s="451" t="s">
        <v>2517</v>
      </c>
      <c r="F443" s="454" t="s">
        <v>2518</v>
      </c>
      <c r="G443" s="451" t="s">
        <v>2519</v>
      </c>
      <c r="H443" s="451" t="s">
        <v>2520</v>
      </c>
      <c r="I443" s="451" t="s">
        <v>2521</v>
      </c>
      <c r="J443" s="454" t="str">
        <f t="shared" si="13"/>
        <v>[pt]Korea, Republik (Südkorea)</v>
      </c>
      <c r="K443" s="454" t="str">
        <f t="shared" si="14"/>
        <v>[gr]Korea, Republik (Südkorea)</v>
      </c>
      <c r="L443" s="525" t="s">
        <v>458</v>
      </c>
      <c r="M443" s="455" t="str">
        <f t="shared" si="18"/>
        <v/>
      </c>
    </row>
    <row r="444" spans="1:13" ht="15.75" customHeight="1">
      <c r="A444" s="523" t="s">
        <v>460</v>
      </c>
      <c r="B444" s="474" t="s">
        <v>2522</v>
      </c>
      <c r="C444" s="523" t="s">
        <v>2523</v>
      </c>
      <c r="D444" s="453" t="str">
        <f t="shared" si="17"/>
        <v>KWT Kuwait</v>
      </c>
      <c r="E444" s="451" t="s">
        <v>459</v>
      </c>
      <c r="F444" s="454" t="s">
        <v>2524</v>
      </c>
      <c r="G444" s="451" t="s">
        <v>2524</v>
      </c>
      <c r="H444" s="451" t="s">
        <v>459</v>
      </c>
      <c r="I444" s="451" t="s">
        <v>2525</v>
      </c>
      <c r="J444" s="454" t="str">
        <f t="shared" si="13"/>
        <v>[pt]Kuwait</v>
      </c>
      <c r="K444" s="454" t="str">
        <f t="shared" si="14"/>
        <v>[gr]Kuwait</v>
      </c>
      <c r="L444" s="525" t="s">
        <v>460</v>
      </c>
      <c r="M444" s="455" t="str">
        <f t="shared" si="18"/>
        <v/>
      </c>
    </row>
    <row r="445" spans="1:13" ht="15.75" customHeight="1">
      <c r="A445" s="523" t="s">
        <v>462</v>
      </c>
      <c r="B445" s="474" t="s">
        <v>2526</v>
      </c>
      <c r="C445" s="523" t="s">
        <v>2527</v>
      </c>
      <c r="D445" s="453" t="str">
        <f t="shared" si="17"/>
        <v>LAO Laos, Demokratische Volksrepublik</v>
      </c>
      <c r="E445" s="451" t="s">
        <v>2528</v>
      </c>
      <c r="F445" s="454" t="s">
        <v>2529</v>
      </c>
      <c r="G445" s="451" t="s">
        <v>2530</v>
      </c>
      <c r="H445" s="451" t="s">
        <v>2531</v>
      </c>
      <c r="I445" s="451" t="s">
        <v>2531</v>
      </c>
      <c r="J445" s="454" t="str">
        <f t="shared" si="13"/>
        <v>[pt]Laos, Demokratische Volksrepublik</v>
      </c>
      <c r="K445" s="454" t="str">
        <f t="shared" si="14"/>
        <v>[gr]Laos, Demokratische Volksrepublik</v>
      </c>
      <c r="L445" s="525" t="s">
        <v>462</v>
      </c>
      <c r="M445" s="455" t="str">
        <f t="shared" si="18"/>
        <v/>
      </c>
    </row>
    <row r="446" spans="1:13" ht="15.75" customHeight="1">
      <c r="A446" s="523" t="s">
        <v>464</v>
      </c>
      <c r="B446" s="474" t="s">
        <v>2532</v>
      </c>
      <c r="C446" s="523" t="s">
        <v>2533</v>
      </c>
      <c r="D446" s="453" t="str">
        <f t="shared" si="17"/>
        <v>LBN Libanon</v>
      </c>
      <c r="E446" s="451" t="s">
        <v>2534</v>
      </c>
      <c r="F446" s="454" t="s">
        <v>2535</v>
      </c>
      <c r="G446" s="451" t="s">
        <v>2536</v>
      </c>
      <c r="H446" s="451" t="s">
        <v>2537</v>
      </c>
      <c r="I446" s="451" t="s">
        <v>2538</v>
      </c>
      <c r="J446" s="454" t="str">
        <f t="shared" si="13"/>
        <v>[pt]Libanon</v>
      </c>
      <c r="K446" s="454" t="str">
        <f t="shared" si="14"/>
        <v>[gr]Libanon</v>
      </c>
      <c r="L446" s="525" t="s">
        <v>464</v>
      </c>
      <c r="M446" s="455" t="str">
        <f t="shared" si="18"/>
        <v/>
      </c>
    </row>
    <row r="447" spans="1:13" ht="15.75" customHeight="1">
      <c r="A447" s="523" t="s">
        <v>466</v>
      </c>
      <c r="B447" s="474" t="s">
        <v>2539</v>
      </c>
      <c r="C447" s="523" t="s">
        <v>2540</v>
      </c>
      <c r="D447" s="453" t="str">
        <f t="shared" si="17"/>
        <v>LBR Liberia</v>
      </c>
      <c r="E447" s="451" t="s">
        <v>465</v>
      </c>
      <c r="F447" s="454" t="s">
        <v>2541</v>
      </c>
      <c r="G447" s="451" t="s">
        <v>2541</v>
      </c>
      <c r="H447" s="451" t="s">
        <v>465</v>
      </c>
      <c r="I447" s="451" t="s">
        <v>2542</v>
      </c>
      <c r="J447" s="454" t="str">
        <f t="shared" si="13"/>
        <v>[pt]Liberia</v>
      </c>
      <c r="K447" s="454" t="str">
        <f t="shared" si="14"/>
        <v>[gr]Liberia</v>
      </c>
      <c r="L447" s="525" t="s">
        <v>466</v>
      </c>
      <c r="M447" s="455" t="str">
        <f t="shared" si="18"/>
        <v/>
      </c>
    </row>
    <row r="448" spans="1:13" ht="15.75" customHeight="1">
      <c r="A448" s="523" t="s">
        <v>468</v>
      </c>
      <c r="B448" s="474" t="s">
        <v>2543</v>
      </c>
      <c r="C448" s="523" t="s">
        <v>2544</v>
      </c>
      <c r="D448" s="453" t="str">
        <f t="shared" si="17"/>
        <v>LBY Libyen</v>
      </c>
      <c r="E448" s="451" t="s">
        <v>2545</v>
      </c>
      <c r="F448" s="454" t="s">
        <v>2546</v>
      </c>
      <c r="G448" s="451" t="s">
        <v>2547</v>
      </c>
      <c r="H448" s="451" t="s">
        <v>2548</v>
      </c>
      <c r="I448" s="451" t="s">
        <v>2549</v>
      </c>
      <c r="J448" s="454" t="str">
        <f t="shared" si="13"/>
        <v>[pt]Libyen</v>
      </c>
      <c r="K448" s="454" t="str">
        <f t="shared" si="14"/>
        <v>[gr]Libyen</v>
      </c>
      <c r="L448" s="525" t="s">
        <v>468</v>
      </c>
      <c r="M448" s="455" t="str">
        <f t="shared" si="18"/>
        <v/>
      </c>
    </row>
    <row r="449" spans="1:13" ht="15.75" customHeight="1">
      <c r="A449" s="523" t="s">
        <v>470</v>
      </c>
      <c r="B449" s="474" t="s">
        <v>2550</v>
      </c>
      <c r="C449" s="523" t="s">
        <v>2551</v>
      </c>
      <c r="D449" s="453" t="str">
        <f t="shared" si="17"/>
        <v>LCA St. Lucia</v>
      </c>
      <c r="E449" s="451" t="s">
        <v>469</v>
      </c>
      <c r="F449" s="454" t="s">
        <v>2552</v>
      </c>
      <c r="G449" s="451" t="s">
        <v>2553</v>
      </c>
      <c r="H449" s="451" t="s">
        <v>2554</v>
      </c>
      <c r="I449" s="451" t="s">
        <v>2555</v>
      </c>
      <c r="J449" s="454" t="str">
        <f t="shared" si="13"/>
        <v>[pt]St. Lucia</v>
      </c>
      <c r="K449" s="454" t="str">
        <f t="shared" si="14"/>
        <v>[gr]St. Lucia</v>
      </c>
      <c r="L449" s="525" t="s">
        <v>470</v>
      </c>
      <c r="M449" s="455" t="str">
        <f t="shared" si="18"/>
        <v/>
      </c>
    </row>
    <row r="450" spans="1:13" ht="15.75" customHeight="1">
      <c r="A450" s="523" t="s">
        <v>472</v>
      </c>
      <c r="B450" s="474" t="s">
        <v>2556</v>
      </c>
      <c r="C450" s="523" t="s">
        <v>2557</v>
      </c>
      <c r="D450" s="453" t="str">
        <f t="shared" si="17"/>
        <v>LIE Liechtenstein</v>
      </c>
      <c r="E450" s="451" t="s">
        <v>471</v>
      </c>
      <c r="F450" s="454" t="s">
        <v>2558</v>
      </c>
      <c r="G450" s="451" t="s">
        <v>2558</v>
      </c>
      <c r="H450" s="451" t="s">
        <v>471</v>
      </c>
      <c r="I450" s="451" t="s">
        <v>471</v>
      </c>
      <c r="J450" s="454" t="str">
        <f t="shared" si="13"/>
        <v>[pt]Liechtenstein</v>
      </c>
      <c r="K450" s="454" t="str">
        <f t="shared" si="14"/>
        <v>[gr]Liechtenstein</v>
      </c>
      <c r="L450" s="525" t="s">
        <v>472</v>
      </c>
      <c r="M450" s="455" t="str">
        <f t="shared" si="18"/>
        <v/>
      </c>
    </row>
    <row r="451" spans="1:13" ht="15.75" customHeight="1">
      <c r="A451" s="523" t="s">
        <v>474</v>
      </c>
      <c r="B451" s="474" t="s">
        <v>2559</v>
      </c>
      <c r="C451" s="523" t="s">
        <v>2560</v>
      </c>
      <c r="D451" s="453" t="str">
        <f t="shared" si="17"/>
        <v>LKA Sri Lanka</v>
      </c>
      <c r="E451" s="451" t="s">
        <v>473</v>
      </c>
      <c r="F451" s="454" t="s">
        <v>2561</v>
      </c>
      <c r="G451" s="451" t="s">
        <v>2561</v>
      </c>
      <c r="H451" s="451" t="s">
        <v>473</v>
      </c>
      <c r="I451" s="451" t="s">
        <v>473</v>
      </c>
      <c r="J451" s="454" t="str">
        <f t="shared" si="13"/>
        <v>[pt]Sri Lanka</v>
      </c>
      <c r="K451" s="454" t="str">
        <f t="shared" si="14"/>
        <v>[gr]Sri Lanka</v>
      </c>
      <c r="L451" s="525" t="s">
        <v>474</v>
      </c>
      <c r="M451" s="455" t="str">
        <f t="shared" si="18"/>
        <v/>
      </c>
    </row>
    <row r="452" spans="1:13" ht="15.75" customHeight="1">
      <c r="A452" s="523" t="s">
        <v>476</v>
      </c>
      <c r="B452" s="474" t="s">
        <v>2562</v>
      </c>
      <c r="C452" s="523" t="s">
        <v>2563</v>
      </c>
      <c r="D452" s="453" t="str">
        <f t="shared" si="17"/>
        <v>LSO Lesotho</v>
      </c>
      <c r="E452" s="451" t="s">
        <v>475</v>
      </c>
      <c r="F452" s="454" t="s">
        <v>2564</v>
      </c>
      <c r="G452" s="451" t="s">
        <v>2564</v>
      </c>
      <c r="H452" s="451" t="s">
        <v>2565</v>
      </c>
      <c r="I452" s="451" t="s">
        <v>475</v>
      </c>
      <c r="J452" s="454" t="str">
        <f t="shared" si="13"/>
        <v>[pt]Lesotho</v>
      </c>
      <c r="K452" s="454" t="str">
        <f t="shared" si="14"/>
        <v>[gr]Lesotho</v>
      </c>
      <c r="L452" s="525" t="s">
        <v>476</v>
      </c>
      <c r="M452" s="455" t="str">
        <f t="shared" si="18"/>
        <v/>
      </c>
    </row>
    <row r="453" spans="1:13" ht="15.75" customHeight="1">
      <c r="A453" s="523" t="s">
        <v>478</v>
      </c>
      <c r="B453" s="474" t="s">
        <v>2566</v>
      </c>
      <c r="C453" s="523" t="s">
        <v>2567</v>
      </c>
      <c r="D453" s="453" t="str">
        <f t="shared" si="17"/>
        <v>LTU Litauen</v>
      </c>
      <c r="E453" s="451" t="s">
        <v>2568</v>
      </c>
      <c r="F453" s="454" t="s">
        <v>2569</v>
      </c>
      <c r="G453" s="451" t="s">
        <v>2570</v>
      </c>
      <c r="H453" s="451" t="s">
        <v>2571</v>
      </c>
      <c r="I453" s="451" t="s">
        <v>2572</v>
      </c>
      <c r="J453" s="454" t="str">
        <f t="shared" si="13"/>
        <v>[pt]Litauen</v>
      </c>
      <c r="K453" s="454" t="str">
        <f t="shared" si="14"/>
        <v>[gr]Litauen</v>
      </c>
      <c r="L453" s="525" t="s">
        <v>478</v>
      </c>
      <c r="M453" s="455" t="str">
        <f t="shared" si="18"/>
        <v/>
      </c>
    </row>
    <row r="454" spans="1:13" ht="15.75" customHeight="1">
      <c r="A454" s="523" t="s">
        <v>480</v>
      </c>
      <c r="B454" s="474" t="s">
        <v>2573</v>
      </c>
      <c r="C454" s="523" t="s">
        <v>2574</v>
      </c>
      <c r="D454" s="453" t="str">
        <f t="shared" si="17"/>
        <v>LUX Luxemburg</v>
      </c>
      <c r="E454" s="451" t="s">
        <v>2575</v>
      </c>
      <c r="F454" s="454" t="s">
        <v>2576</v>
      </c>
      <c r="G454" s="451" t="s">
        <v>2577</v>
      </c>
      <c r="H454" s="451" t="s">
        <v>2578</v>
      </c>
      <c r="I454" s="451" t="s">
        <v>479</v>
      </c>
      <c r="J454" s="454" t="str">
        <f t="shared" si="13"/>
        <v>[pt]Luxemburg</v>
      </c>
      <c r="K454" s="454" t="str">
        <f t="shared" si="14"/>
        <v>[gr]Luxemburg</v>
      </c>
      <c r="L454" s="525" t="s">
        <v>480</v>
      </c>
      <c r="M454" s="455" t="str">
        <f t="shared" si="18"/>
        <v/>
      </c>
    </row>
    <row r="455" spans="1:13" ht="15.75" customHeight="1">
      <c r="A455" s="523" t="s">
        <v>482</v>
      </c>
      <c r="B455" s="474" t="s">
        <v>2579</v>
      </c>
      <c r="C455" s="523" t="s">
        <v>2580</v>
      </c>
      <c r="D455" s="453" t="str">
        <f t="shared" si="17"/>
        <v>LVA Lettland</v>
      </c>
      <c r="E455" s="451" t="s">
        <v>2581</v>
      </c>
      <c r="F455" s="454" t="s">
        <v>2582</v>
      </c>
      <c r="G455" s="451" t="s">
        <v>2583</v>
      </c>
      <c r="H455" s="451" t="s">
        <v>2584</v>
      </c>
      <c r="I455" s="451" t="s">
        <v>2585</v>
      </c>
      <c r="J455" s="454" t="str">
        <f t="shared" si="13"/>
        <v>[pt]Lettland</v>
      </c>
      <c r="K455" s="454" t="str">
        <f t="shared" si="14"/>
        <v>[gr]Lettland</v>
      </c>
      <c r="L455" s="525" t="s">
        <v>482</v>
      </c>
      <c r="M455" s="455" t="str">
        <f t="shared" si="18"/>
        <v/>
      </c>
    </row>
    <row r="456" spans="1:13" ht="15.75" customHeight="1">
      <c r="A456" s="523" t="s">
        <v>484</v>
      </c>
      <c r="B456" s="474" t="s">
        <v>2586</v>
      </c>
      <c r="C456" s="523" t="s">
        <v>2587</v>
      </c>
      <c r="D456" s="453" t="str">
        <f t="shared" si="17"/>
        <v>MAC Macao</v>
      </c>
      <c r="E456" s="451" t="s">
        <v>2588</v>
      </c>
      <c r="F456" s="454" t="s">
        <v>2589</v>
      </c>
      <c r="G456" s="451" t="s">
        <v>2589</v>
      </c>
      <c r="H456" s="451" t="s">
        <v>2588</v>
      </c>
      <c r="I456" s="451" t="s">
        <v>2588</v>
      </c>
      <c r="J456" s="454" t="str">
        <f t="shared" si="13"/>
        <v>[pt]Macao</v>
      </c>
      <c r="K456" s="454" t="str">
        <f t="shared" si="14"/>
        <v>[gr]Macao</v>
      </c>
      <c r="L456" s="525" t="s">
        <v>484</v>
      </c>
      <c r="M456" s="455" t="str">
        <f t="shared" si="18"/>
        <v/>
      </c>
    </row>
    <row r="457" spans="1:13" ht="15.75" customHeight="1">
      <c r="A457" s="523" t="s">
        <v>486</v>
      </c>
      <c r="B457" s="474" t="s">
        <v>2590</v>
      </c>
      <c r="C457" s="523" t="s">
        <v>2591</v>
      </c>
      <c r="D457" s="453" t="str">
        <f t="shared" si="17"/>
        <v>MAF Saint-Martin (franz. Teil)</v>
      </c>
      <c r="E457" s="451" t="s">
        <v>2592</v>
      </c>
      <c r="F457" s="454" t="s">
        <v>2593</v>
      </c>
      <c r="G457" s="451" t="s">
        <v>2594</v>
      </c>
      <c r="H457" s="451" t="s">
        <v>2595</v>
      </c>
      <c r="I457" s="451" t="s">
        <v>2596</v>
      </c>
      <c r="J457" s="454" t="str">
        <f t="shared" ref="J457:J488" si="19">"[pt]"&amp;E457</f>
        <v>[pt]Saint-Martin (franz. Teil)</v>
      </c>
      <c r="K457" s="454" t="str">
        <f t="shared" ref="K457:K488" si="20">"[gr]"&amp;E457</f>
        <v>[gr]Saint-Martin (franz. Teil)</v>
      </c>
      <c r="L457" s="525" t="s">
        <v>486</v>
      </c>
      <c r="M457" s="455" t="str">
        <f t="shared" si="18"/>
        <v/>
      </c>
    </row>
    <row r="458" spans="1:13" ht="15.75" customHeight="1">
      <c r="A458" s="523" t="s">
        <v>488</v>
      </c>
      <c r="B458" s="474" t="s">
        <v>2597</v>
      </c>
      <c r="C458" s="523" t="s">
        <v>2598</v>
      </c>
      <c r="D458" s="453" t="str">
        <f t="shared" si="17"/>
        <v>MAR Marokko</v>
      </c>
      <c r="E458" s="451" t="s">
        <v>2599</v>
      </c>
      <c r="F458" s="454" t="s">
        <v>2600</v>
      </c>
      <c r="G458" s="451" t="s">
        <v>2601</v>
      </c>
      <c r="H458" s="451" t="s">
        <v>2602</v>
      </c>
      <c r="I458" s="451" t="s">
        <v>2603</v>
      </c>
      <c r="J458" s="454" t="str">
        <f t="shared" si="19"/>
        <v>[pt]Marokko</v>
      </c>
      <c r="K458" s="454" t="str">
        <f t="shared" si="20"/>
        <v>[gr]Marokko</v>
      </c>
      <c r="L458" s="525" t="s">
        <v>488</v>
      </c>
      <c r="M458" s="455" t="str">
        <f t="shared" si="18"/>
        <v/>
      </c>
    </row>
    <row r="459" spans="1:13" ht="15.75" customHeight="1">
      <c r="A459" s="523" t="s">
        <v>490</v>
      </c>
      <c r="B459" s="474" t="s">
        <v>2604</v>
      </c>
      <c r="C459" s="523" t="s">
        <v>2605</v>
      </c>
      <c r="D459" s="453" t="str">
        <f t="shared" si="17"/>
        <v>MCO Monaco</v>
      </c>
      <c r="E459" s="451" t="s">
        <v>489</v>
      </c>
      <c r="F459" s="454" t="s">
        <v>2606</v>
      </c>
      <c r="G459" s="451" t="s">
        <v>2607</v>
      </c>
      <c r="H459" s="451" t="s">
        <v>2608</v>
      </c>
      <c r="I459" s="451" t="s">
        <v>489</v>
      </c>
      <c r="J459" s="454" t="str">
        <f t="shared" si="19"/>
        <v>[pt]Monaco</v>
      </c>
      <c r="K459" s="454" t="str">
        <f t="shared" si="20"/>
        <v>[gr]Monaco</v>
      </c>
      <c r="L459" s="525" t="s">
        <v>490</v>
      </c>
      <c r="M459" s="455" t="str">
        <f t="shared" si="18"/>
        <v/>
      </c>
    </row>
    <row r="460" spans="1:13" ht="15.75" customHeight="1">
      <c r="A460" s="523" t="s">
        <v>492</v>
      </c>
      <c r="B460" s="474" t="s">
        <v>2609</v>
      </c>
      <c r="C460" s="523" t="s">
        <v>2610</v>
      </c>
      <c r="D460" s="453" t="str">
        <f t="shared" si="17"/>
        <v>MDA Moldawien (Republik Moldau)</v>
      </c>
      <c r="E460" s="451" t="s">
        <v>2611</v>
      </c>
      <c r="F460" s="454" t="s">
        <v>2612</v>
      </c>
      <c r="G460" s="451" t="s">
        <v>2613</v>
      </c>
      <c r="H460" s="451" t="s">
        <v>2614</v>
      </c>
      <c r="I460" s="451" t="s">
        <v>2615</v>
      </c>
      <c r="J460" s="454" t="str">
        <f t="shared" si="19"/>
        <v>[pt]Moldawien (Republik Moldau)</v>
      </c>
      <c r="K460" s="454" t="str">
        <f t="shared" si="20"/>
        <v>[gr]Moldawien (Republik Moldau)</v>
      </c>
      <c r="L460" s="525" t="s">
        <v>492</v>
      </c>
      <c r="M460" s="455" t="str">
        <f t="shared" si="18"/>
        <v/>
      </c>
    </row>
    <row r="461" spans="1:13" ht="15.75" customHeight="1">
      <c r="A461" s="523" t="s">
        <v>494</v>
      </c>
      <c r="B461" s="474" t="s">
        <v>2616</v>
      </c>
      <c r="C461" s="523" t="s">
        <v>2617</v>
      </c>
      <c r="D461" s="453" t="str">
        <f t="shared" si="17"/>
        <v>MDG Madagaskar</v>
      </c>
      <c r="E461" s="451" t="s">
        <v>2618</v>
      </c>
      <c r="F461" s="454" t="s">
        <v>2619</v>
      </c>
      <c r="G461" s="451" t="s">
        <v>2619</v>
      </c>
      <c r="H461" s="451" t="s">
        <v>493</v>
      </c>
      <c r="I461" s="451" t="s">
        <v>493</v>
      </c>
      <c r="J461" s="454" t="str">
        <f t="shared" si="19"/>
        <v>[pt]Madagaskar</v>
      </c>
      <c r="K461" s="454" t="str">
        <f t="shared" si="20"/>
        <v>[gr]Madagaskar</v>
      </c>
      <c r="L461" s="525" t="s">
        <v>494</v>
      </c>
      <c r="M461" s="455" t="str">
        <f t="shared" si="18"/>
        <v/>
      </c>
    </row>
    <row r="462" spans="1:13" ht="15.75" customHeight="1">
      <c r="A462" s="523" t="s">
        <v>496</v>
      </c>
      <c r="B462" s="474" t="s">
        <v>2620</v>
      </c>
      <c r="C462" s="523" t="s">
        <v>2621</v>
      </c>
      <c r="D462" s="453" t="str">
        <f t="shared" si="17"/>
        <v>MDV Malediven</v>
      </c>
      <c r="E462" s="451" t="s">
        <v>2622</v>
      </c>
      <c r="F462" s="454" t="s">
        <v>2623</v>
      </c>
      <c r="G462" s="451" t="s">
        <v>2624</v>
      </c>
      <c r="H462" s="451" t="s">
        <v>2625</v>
      </c>
      <c r="I462" s="451" t="s">
        <v>495</v>
      </c>
      <c r="J462" s="454" t="str">
        <f t="shared" si="19"/>
        <v>[pt]Malediven</v>
      </c>
      <c r="K462" s="454" t="str">
        <f t="shared" si="20"/>
        <v>[gr]Malediven</v>
      </c>
      <c r="L462" s="525" t="s">
        <v>496</v>
      </c>
      <c r="M462" s="455" t="str">
        <f t="shared" si="18"/>
        <v/>
      </c>
    </row>
    <row r="463" spans="1:13" ht="15.75" customHeight="1">
      <c r="A463" s="523" t="s">
        <v>498</v>
      </c>
      <c r="B463" s="474" t="s">
        <v>2626</v>
      </c>
      <c r="C463" s="523" t="s">
        <v>2627</v>
      </c>
      <c r="D463" s="453" t="str">
        <f t="shared" si="17"/>
        <v>MEX Mexiko</v>
      </c>
      <c r="E463" s="451" t="s">
        <v>2628</v>
      </c>
      <c r="F463" s="454" t="s">
        <v>2629</v>
      </c>
      <c r="G463" s="451" t="s">
        <v>2630</v>
      </c>
      <c r="H463" s="451" t="s">
        <v>2631</v>
      </c>
      <c r="I463" s="451" t="s">
        <v>2632</v>
      </c>
      <c r="J463" s="454" t="str">
        <f t="shared" si="19"/>
        <v>[pt]Mexiko</v>
      </c>
      <c r="K463" s="454" t="str">
        <f t="shared" si="20"/>
        <v>[gr]Mexiko</v>
      </c>
      <c r="L463" s="525" t="s">
        <v>498</v>
      </c>
      <c r="M463" s="455" t="str">
        <f t="shared" si="18"/>
        <v/>
      </c>
    </row>
    <row r="464" spans="1:13" ht="15.75" customHeight="1">
      <c r="A464" s="523" t="s">
        <v>500</v>
      </c>
      <c r="B464" s="474" t="s">
        <v>2633</v>
      </c>
      <c r="C464" s="523" t="s">
        <v>2634</v>
      </c>
      <c r="D464" s="453" t="str">
        <f t="shared" si="17"/>
        <v>MHL Marshallinseln</v>
      </c>
      <c r="E464" s="451" t="s">
        <v>2635</v>
      </c>
      <c r="F464" s="454" t="s">
        <v>2636</v>
      </c>
      <c r="G464" s="451" t="s">
        <v>2637</v>
      </c>
      <c r="H464" s="451" t="s">
        <v>2638</v>
      </c>
      <c r="I464" s="451" t="s">
        <v>2639</v>
      </c>
      <c r="J464" s="454" t="str">
        <f t="shared" si="19"/>
        <v>[pt]Marshallinseln</v>
      </c>
      <c r="K464" s="454" t="str">
        <f t="shared" si="20"/>
        <v>[gr]Marshallinseln</v>
      </c>
      <c r="L464" s="525" t="s">
        <v>500</v>
      </c>
      <c r="M464" s="455" t="str">
        <f t="shared" si="18"/>
        <v/>
      </c>
    </row>
    <row r="465" spans="1:13" ht="15.75" customHeight="1">
      <c r="A465" s="523" t="s">
        <v>502</v>
      </c>
      <c r="B465" s="474" t="s">
        <v>2640</v>
      </c>
      <c r="C465" s="523" t="s">
        <v>2641</v>
      </c>
      <c r="D465" s="453" t="str">
        <f t="shared" si="17"/>
        <v>MKD Mazedonien</v>
      </c>
      <c r="E465" s="451" t="s">
        <v>2642</v>
      </c>
      <c r="F465" s="454" t="s">
        <v>2643</v>
      </c>
      <c r="G465" s="451" t="s">
        <v>2644</v>
      </c>
      <c r="H465" s="451" t="s">
        <v>2645</v>
      </c>
      <c r="I465" s="451" t="s">
        <v>2646</v>
      </c>
      <c r="J465" s="454" t="str">
        <f t="shared" si="19"/>
        <v>[pt]Mazedonien</v>
      </c>
      <c r="K465" s="454" t="str">
        <f t="shared" si="20"/>
        <v>[gr]Mazedonien</v>
      </c>
      <c r="L465" s="525" t="s">
        <v>502</v>
      </c>
      <c r="M465" s="455" t="str">
        <f t="shared" si="18"/>
        <v/>
      </c>
    </row>
    <row r="466" spans="1:13" ht="15.75" customHeight="1">
      <c r="A466" s="523" t="s">
        <v>504</v>
      </c>
      <c r="B466" s="474" t="s">
        <v>2647</v>
      </c>
      <c r="C466" s="523" t="s">
        <v>2648</v>
      </c>
      <c r="D466" s="453" t="str">
        <f t="shared" si="17"/>
        <v>MLI Mali</v>
      </c>
      <c r="E466" s="451" t="s">
        <v>503</v>
      </c>
      <c r="F466" s="454" t="s">
        <v>2649</v>
      </c>
      <c r="G466" s="451" t="s">
        <v>2649</v>
      </c>
      <c r="H466" s="451" t="s">
        <v>2650</v>
      </c>
      <c r="I466" s="451" t="s">
        <v>503</v>
      </c>
      <c r="J466" s="454" t="str">
        <f t="shared" si="19"/>
        <v>[pt]Mali</v>
      </c>
      <c r="K466" s="454" t="str">
        <f t="shared" si="20"/>
        <v>[gr]Mali</v>
      </c>
      <c r="L466" s="525" t="s">
        <v>504</v>
      </c>
      <c r="M466" s="455" t="str">
        <f t="shared" si="18"/>
        <v/>
      </c>
    </row>
    <row r="467" spans="1:13" ht="15.75" customHeight="1">
      <c r="A467" s="523" t="s">
        <v>506</v>
      </c>
      <c r="B467" s="474" t="s">
        <v>2651</v>
      </c>
      <c r="C467" s="523" t="s">
        <v>2652</v>
      </c>
      <c r="D467" s="453" t="str">
        <f t="shared" si="17"/>
        <v>MLT Malta</v>
      </c>
      <c r="E467" s="451" t="s">
        <v>505</v>
      </c>
      <c r="F467" s="454" t="s">
        <v>2653</v>
      </c>
      <c r="G467" s="451" t="s">
        <v>2653</v>
      </c>
      <c r="H467" s="451" t="s">
        <v>505</v>
      </c>
      <c r="I467" s="451" t="s">
        <v>2654</v>
      </c>
      <c r="J467" s="454" t="str">
        <f t="shared" si="19"/>
        <v>[pt]Malta</v>
      </c>
      <c r="K467" s="454" t="str">
        <f t="shared" si="20"/>
        <v>[gr]Malta</v>
      </c>
      <c r="L467" s="525" t="s">
        <v>506</v>
      </c>
      <c r="M467" s="455" t="str">
        <f t="shared" si="18"/>
        <v/>
      </c>
    </row>
    <row r="468" spans="1:13" ht="15.75" customHeight="1">
      <c r="A468" s="523" t="s">
        <v>508</v>
      </c>
      <c r="B468" s="474" t="s">
        <v>2655</v>
      </c>
      <c r="C468" s="523" t="s">
        <v>2656</v>
      </c>
      <c r="D468" s="453" t="str">
        <f t="shared" si="17"/>
        <v>MMR Myanmar (Burma)</v>
      </c>
      <c r="E468" s="451" t="s">
        <v>2657</v>
      </c>
      <c r="F468" s="454" t="s">
        <v>2658</v>
      </c>
      <c r="G468" s="451" t="s">
        <v>2659</v>
      </c>
      <c r="H468" s="451" t="s">
        <v>2660</v>
      </c>
      <c r="I468" s="451" t="s">
        <v>507</v>
      </c>
      <c r="J468" s="454" t="str">
        <f t="shared" si="19"/>
        <v>[pt]Myanmar (Burma)</v>
      </c>
      <c r="K468" s="454" t="str">
        <f t="shared" si="20"/>
        <v>[gr]Myanmar (Burma)</v>
      </c>
      <c r="L468" s="525" t="s">
        <v>508</v>
      </c>
      <c r="M468" s="455" t="str">
        <f t="shared" si="18"/>
        <v/>
      </c>
    </row>
    <row r="469" spans="1:13" ht="15.75" customHeight="1">
      <c r="A469" s="523" t="s">
        <v>510</v>
      </c>
      <c r="B469" s="474" t="s">
        <v>2661</v>
      </c>
      <c r="C469" s="523" t="s">
        <v>2662</v>
      </c>
      <c r="D469" s="453" t="str">
        <f t="shared" si="17"/>
        <v>MNE Montenegro</v>
      </c>
      <c r="E469" s="451" t="s">
        <v>509</v>
      </c>
      <c r="F469" s="454" t="s">
        <v>2663</v>
      </c>
      <c r="G469" s="451" t="s">
        <v>2663</v>
      </c>
      <c r="H469" s="451" t="s">
        <v>509</v>
      </c>
      <c r="I469" s="451" t="s">
        <v>2664</v>
      </c>
      <c r="J469" s="454" t="str">
        <f t="shared" si="19"/>
        <v>[pt]Montenegro</v>
      </c>
      <c r="K469" s="454" t="str">
        <f t="shared" si="20"/>
        <v>[gr]Montenegro</v>
      </c>
      <c r="L469" s="525" t="s">
        <v>510</v>
      </c>
      <c r="M469" s="455" t="str">
        <f t="shared" si="18"/>
        <v/>
      </c>
    </row>
    <row r="470" spans="1:13" ht="15.75" customHeight="1">
      <c r="A470" s="523" t="s">
        <v>512</v>
      </c>
      <c r="B470" s="474" t="s">
        <v>2665</v>
      </c>
      <c r="C470" s="523" t="s">
        <v>2666</v>
      </c>
      <c r="D470" s="453" t="str">
        <f t="shared" si="17"/>
        <v>MNG Mongolei</v>
      </c>
      <c r="E470" s="451" t="s">
        <v>2667</v>
      </c>
      <c r="F470" s="454" t="s">
        <v>2668</v>
      </c>
      <c r="G470" s="451" t="s">
        <v>2668</v>
      </c>
      <c r="H470" s="451" t="s">
        <v>511</v>
      </c>
      <c r="I470" s="451" t="s">
        <v>2669</v>
      </c>
      <c r="J470" s="454" t="str">
        <f t="shared" si="19"/>
        <v>[pt]Mongolei</v>
      </c>
      <c r="K470" s="454" t="str">
        <f t="shared" si="20"/>
        <v>[gr]Mongolei</v>
      </c>
      <c r="L470" s="525" t="s">
        <v>512</v>
      </c>
      <c r="M470" s="455" t="str">
        <f t="shared" si="18"/>
        <v/>
      </c>
    </row>
    <row r="471" spans="1:13" ht="15.75" customHeight="1">
      <c r="A471" s="523" t="s">
        <v>514</v>
      </c>
      <c r="B471" s="474" t="s">
        <v>2670</v>
      </c>
      <c r="C471" s="523" t="s">
        <v>2671</v>
      </c>
      <c r="D471" s="453" t="str">
        <f t="shared" si="17"/>
        <v>MNP Nördliche Marianen</v>
      </c>
      <c r="E471" s="451" t="s">
        <v>2672</v>
      </c>
      <c r="F471" s="454" t="s">
        <v>2673</v>
      </c>
      <c r="G471" s="451" t="s">
        <v>2674</v>
      </c>
      <c r="H471" s="451" t="s">
        <v>2675</v>
      </c>
      <c r="I471" s="451" t="s">
        <v>2676</v>
      </c>
      <c r="J471" s="454" t="str">
        <f t="shared" si="19"/>
        <v>[pt]Nördliche Marianen</v>
      </c>
      <c r="K471" s="454" t="str">
        <f t="shared" si="20"/>
        <v>[gr]Nördliche Marianen</v>
      </c>
      <c r="L471" s="525" t="s">
        <v>514</v>
      </c>
      <c r="M471" s="455" t="str">
        <f t="shared" si="18"/>
        <v/>
      </c>
    </row>
    <row r="472" spans="1:13" ht="15.75" customHeight="1">
      <c r="A472" s="523" t="s">
        <v>516</v>
      </c>
      <c r="B472" s="474" t="s">
        <v>2677</v>
      </c>
      <c r="C472" s="523" t="s">
        <v>2678</v>
      </c>
      <c r="D472" s="453" t="str">
        <f t="shared" si="17"/>
        <v>MOZ Mosambik</v>
      </c>
      <c r="E472" s="451" t="s">
        <v>2679</v>
      </c>
      <c r="F472" s="454" t="s">
        <v>2680</v>
      </c>
      <c r="G472" s="451" t="s">
        <v>2681</v>
      </c>
      <c r="H472" s="451" t="s">
        <v>515</v>
      </c>
      <c r="I472" s="451" t="s">
        <v>515</v>
      </c>
      <c r="J472" s="454" t="str">
        <f t="shared" si="19"/>
        <v>[pt]Mosambik</v>
      </c>
      <c r="K472" s="454" t="str">
        <f t="shared" si="20"/>
        <v>[gr]Mosambik</v>
      </c>
      <c r="L472" s="525" t="s">
        <v>516</v>
      </c>
      <c r="M472" s="455" t="str">
        <f t="shared" si="18"/>
        <v/>
      </c>
    </row>
    <row r="473" spans="1:13" ht="15.75" customHeight="1">
      <c r="A473" s="523" t="s">
        <v>518</v>
      </c>
      <c r="B473" s="474" t="s">
        <v>2682</v>
      </c>
      <c r="C473" s="523" t="s">
        <v>2683</v>
      </c>
      <c r="D473" s="453" t="str">
        <f t="shared" si="17"/>
        <v>MRT Mauretanien</v>
      </c>
      <c r="E473" s="451" t="s">
        <v>2684</v>
      </c>
      <c r="F473" s="454" t="s">
        <v>2685</v>
      </c>
      <c r="G473" s="451" t="s">
        <v>2685</v>
      </c>
      <c r="H473" s="451" t="s">
        <v>517</v>
      </c>
      <c r="I473" s="451" t="s">
        <v>2686</v>
      </c>
      <c r="J473" s="454" t="str">
        <f t="shared" si="19"/>
        <v>[pt]Mauretanien</v>
      </c>
      <c r="K473" s="454" t="str">
        <f t="shared" si="20"/>
        <v>[gr]Mauretanien</v>
      </c>
      <c r="L473" s="525" t="s">
        <v>518</v>
      </c>
      <c r="M473" s="455" t="str">
        <f t="shared" si="18"/>
        <v/>
      </c>
    </row>
    <row r="474" spans="1:13" ht="15.75" customHeight="1">
      <c r="A474" s="523" t="s">
        <v>520</v>
      </c>
      <c r="B474" s="474" t="s">
        <v>2687</v>
      </c>
      <c r="C474" s="523" t="s">
        <v>2688</v>
      </c>
      <c r="D474" s="453" t="str">
        <f t="shared" si="17"/>
        <v>MUS Mauritius</v>
      </c>
      <c r="E474" s="451" t="s">
        <v>519</v>
      </c>
      <c r="F474" s="454" t="s">
        <v>2689</v>
      </c>
      <c r="G474" s="451" t="s">
        <v>2689</v>
      </c>
      <c r="H474" s="451" t="s">
        <v>2690</v>
      </c>
      <c r="I474" s="451" t="s">
        <v>2691</v>
      </c>
      <c r="J474" s="454" t="str">
        <f t="shared" si="19"/>
        <v>[pt]Mauritius</v>
      </c>
      <c r="K474" s="454" t="str">
        <f t="shared" si="20"/>
        <v>[gr]Mauritius</v>
      </c>
      <c r="L474" s="525" t="s">
        <v>520</v>
      </c>
      <c r="M474" s="455" t="str">
        <f t="shared" si="18"/>
        <v/>
      </c>
    </row>
    <row r="475" spans="1:13" ht="15.75" customHeight="1">
      <c r="A475" s="523" t="s">
        <v>522</v>
      </c>
      <c r="B475" s="474" t="s">
        <v>2692</v>
      </c>
      <c r="C475" s="523" t="s">
        <v>2693</v>
      </c>
      <c r="D475" s="453" t="str">
        <f t="shared" si="17"/>
        <v>MWI Malawi</v>
      </c>
      <c r="E475" s="451" t="s">
        <v>521</v>
      </c>
      <c r="F475" s="454" t="s">
        <v>2694</v>
      </c>
      <c r="G475" s="451" t="s">
        <v>2694</v>
      </c>
      <c r="H475" s="451" t="s">
        <v>2695</v>
      </c>
      <c r="I475" s="451" t="s">
        <v>521</v>
      </c>
      <c r="J475" s="454" t="str">
        <f t="shared" si="19"/>
        <v>[pt]Malawi</v>
      </c>
      <c r="K475" s="454" t="str">
        <f t="shared" si="20"/>
        <v>[gr]Malawi</v>
      </c>
      <c r="L475" s="525" t="s">
        <v>522</v>
      </c>
      <c r="M475" s="455" t="str">
        <f t="shared" si="18"/>
        <v/>
      </c>
    </row>
    <row r="476" spans="1:13" ht="15.75" customHeight="1">
      <c r="A476" s="523" t="s">
        <v>524</v>
      </c>
      <c r="B476" s="474" t="s">
        <v>2696</v>
      </c>
      <c r="C476" s="523" t="s">
        <v>2697</v>
      </c>
      <c r="D476" s="453" t="str">
        <f t="shared" si="17"/>
        <v>MYS Malaysia</v>
      </c>
      <c r="E476" s="451" t="s">
        <v>523</v>
      </c>
      <c r="F476" s="454" t="s">
        <v>2698</v>
      </c>
      <c r="G476" s="451" t="s">
        <v>2699</v>
      </c>
      <c r="H476" s="451" t="s">
        <v>2700</v>
      </c>
      <c r="I476" s="451" t="s">
        <v>2701</v>
      </c>
      <c r="J476" s="454" t="str">
        <f t="shared" si="19"/>
        <v>[pt]Malaysia</v>
      </c>
      <c r="K476" s="454" t="str">
        <f t="shared" si="20"/>
        <v>[gr]Malaysia</v>
      </c>
      <c r="L476" s="525" t="s">
        <v>524</v>
      </c>
      <c r="M476" s="455" t="str">
        <f t="shared" si="18"/>
        <v/>
      </c>
    </row>
    <row r="477" spans="1:13" ht="15.75" customHeight="1">
      <c r="A477" s="523" t="s">
        <v>526</v>
      </c>
      <c r="B477" s="474" t="s">
        <v>2702</v>
      </c>
      <c r="C477" s="523" t="s">
        <v>2703</v>
      </c>
      <c r="D477" s="453" t="str">
        <f t="shared" si="17"/>
        <v>NAM Namibia</v>
      </c>
      <c r="E477" s="451" t="s">
        <v>525</v>
      </c>
      <c r="F477" s="454" t="s">
        <v>2704</v>
      </c>
      <c r="G477" s="451" t="s">
        <v>2704</v>
      </c>
      <c r="H477" s="451" t="s">
        <v>525</v>
      </c>
      <c r="I477" s="451" t="s">
        <v>2705</v>
      </c>
      <c r="J477" s="454" t="str">
        <f t="shared" si="19"/>
        <v>[pt]Namibia</v>
      </c>
      <c r="K477" s="454" t="str">
        <f t="shared" si="20"/>
        <v>[gr]Namibia</v>
      </c>
      <c r="L477" s="525" t="s">
        <v>526</v>
      </c>
      <c r="M477" s="455" t="str">
        <f t="shared" si="18"/>
        <v/>
      </c>
    </row>
    <row r="478" spans="1:13" ht="15.75" customHeight="1">
      <c r="A478" s="523" t="s">
        <v>528</v>
      </c>
      <c r="B478" s="474" t="s">
        <v>2706</v>
      </c>
      <c r="C478" s="523" t="s">
        <v>2707</v>
      </c>
      <c r="D478" s="453" t="str">
        <f t="shared" si="17"/>
        <v>NCL Neukaledonien</v>
      </c>
      <c r="E478" s="451" t="s">
        <v>2708</v>
      </c>
      <c r="F478" s="454" t="s">
        <v>2709</v>
      </c>
      <c r="G478" s="451" t="s">
        <v>2710</v>
      </c>
      <c r="H478" s="451" t="s">
        <v>2711</v>
      </c>
      <c r="I478" s="451" t="s">
        <v>2712</v>
      </c>
      <c r="J478" s="454" t="str">
        <f t="shared" si="19"/>
        <v>[pt]Neukaledonien</v>
      </c>
      <c r="K478" s="454" t="str">
        <f t="shared" si="20"/>
        <v>[gr]Neukaledonien</v>
      </c>
      <c r="L478" s="525" t="s">
        <v>528</v>
      </c>
      <c r="M478" s="455" t="str">
        <f t="shared" si="18"/>
        <v/>
      </c>
    </row>
    <row r="479" spans="1:13" ht="15.75" customHeight="1">
      <c r="A479" s="523" t="s">
        <v>530</v>
      </c>
      <c r="B479" s="474" t="s">
        <v>2713</v>
      </c>
      <c r="C479" s="523" t="s">
        <v>2714</v>
      </c>
      <c r="D479" s="453" t="str">
        <f t="shared" si="17"/>
        <v>NER Niger</v>
      </c>
      <c r="E479" s="451" t="s">
        <v>529</v>
      </c>
      <c r="F479" s="454" t="s">
        <v>2715</v>
      </c>
      <c r="G479" s="451" t="s">
        <v>2715</v>
      </c>
      <c r="H479" s="451" t="s">
        <v>2716</v>
      </c>
      <c r="I479" s="451" t="s">
        <v>529</v>
      </c>
      <c r="J479" s="454" t="str">
        <f t="shared" si="19"/>
        <v>[pt]Niger</v>
      </c>
      <c r="K479" s="454" t="str">
        <f t="shared" si="20"/>
        <v>[gr]Niger</v>
      </c>
      <c r="L479" s="525" t="s">
        <v>530</v>
      </c>
      <c r="M479" s="455" t="str">
        <f t="shared" si="18"/>
        <v/>
      </c>
    </row>
    <row r="480" spans="1:13" ht="15.75" customHeight="1">
      <c r="A480" s="523" t="s">
        <v>532</v>
      </c>
      <c r="B480" s="474" t="s">
        <v>2717</v>
      </c>
      <c r="C480" s="523" t="s">
        <v>2718</v>
      </c>
      <c r="D480" s="453" t="str">
        <f t="shared" si="17"/>
        <v>NGA Nigeria</v>
      </c>
      <c r="E480" s="451" t="s">
        <v>531</v>
      </c>
      <c r="F480" s="454" t="s">
        <v>2719</v>
      </c>
      <c r="G480" s="451" t="s">
        <v>2719</v>
      </c>
      <c r="H480" s="451" t="s">
        <v>531</v>
      </c>
      <c r="I480" s="451" t="s">
        <v>2720</v>
      </c>
      <c r="J480" s="454" t="str">
        <f t="shared" si="19"/>
        <v>[pt]Nigeria</v>
      </c>
      <c r="K480" s="454" t="str">
        <f t="shared" si="20"/>
        <v>[gr]Nigeria</v>
      </c>
      <c r="L480" s="525" t="s">
        <v>532</v>
      </c>
      <c r="M480" s="455" t="str">
        <f t="shared" si="18"/>
        <v/>
      </c>
    </row>
    <row r="481" spans="1:13" ht="15.75" customHeight="1">
      <c r="A481" s="523" t="s">
        <v>534</v>
      </c>
      <c r="B481" s="474" t="s">
        <v>2721</v>
      </c>
      <c r="C481" s="523" t="s">
        <v>2722</v>
      </c>
      <c r="D481" s="453" t="str">
        <f t="shared" si="17"/>
        <v>NIC Nicaragua</v>
      </c>
      <c r="E481" s="451" t="s">
        <v>533</v>
      </c>
      <c r="F481" s="454" t="s">
        <v>2723</v>
      </c>
      <c r="G481" s="451" t="s">
        <v>2723</v>
      </c>
      <c r="H481" s="451" t="s">
        <v>533</v>
      </c>
      <c r="I481" s="451" t="s">
        <v>533</v>
      </c>
      <c r="J481" s="454" t="str">
        <f t="shared" si="19"/>
        <v>[pt]Nicaragua</v>
      </c>
      <c r="K481" s="454" t="str">
        <f t="shared" si="20"/>
        <v>[gr]Nicaragua</v>
      </c>
      <c r="L481" s="525" t="s">
        <v>534</v>
      </c>
      <c r="M481" s="455" t="str">
        <f t="shared" si="18"/>
        <v/>
      </c>
    </row>
    <row r="482" spans="1:13" ht="15.75" customHeight="1">
      <c r="A482" s="523" t="s">
        <v>536</v>
      </c>
      <c r="B482" s="474" t="s">
        <v>2724</v>
      </c>
      <c r="C482" s="523" t="s">
        <v>2725</v>
      </c>
      <c r="D482" s="453" t="str">
        <f t="shared" si="17"/>
        <v>NLD Niederlande</v>
      </c>
      <c r="E482" s="451" t="s">
        <v>2726</v>
      </c>
      <c r="F482" s="454" t="s">
        <v>2727</v>
      </c>
      <c r="G482" s="451" t="s">
        <v>2728</v>
      </c>
      <c r="H482" s="451" t="s">
        <v>2729</v>
      </c>
      <c r="I482" s="451" t="s">
        <v>2730</v>
      </c>
      <c r="J482" s="454" t="str">
        <f t="shared" si="19"/>
        <v>[pt]Niederlande</v>
      </c>
      <c r="K482" s="454" t="str">
        <f t="shared" si="20"/>
        <v>[gr]Niederlande</v>
      </c>
      <c r="L482" s="525" t="s">
        <v>536</v>
      </c>
      <c r="M482" s="455" t="str">
        <f t="shared" si="18"/>
        <v/>
      </c>
    </row>
    <row r="483" spans="1:13" ht="15.75" customHeight="1">
      <c r="A483" s="523" t="s">
        <v>538</v>
      </c>
      <c r="B483" s="474" t="s">
        <v>2731</v>
      </c>
      <c r="C483" s="523" t="s">
        <v>2732</v>
      </c>
      <c r="D483" s="453" t="str">
        <f t="shared" si="17"/>
        <v>NOR Norwegen</v>
      </c>
      <c r="E483" s="451" t="s">
        <v>2733</v>
      </c>
      <c r="F483" s="454" t="s">
        <v>2734</v>
      </c>
      <c r="G483" s="451" t="s">
        <v>2735</v>
      </c>
      <c r="H483" s="451" t="s">
        <v>2736</v>
      </c>
      <c r="I483" s="451" t="s">
        <v>2737</v>
      </c>
      <c r="J483" s="454" t="str">
        <f t="shared" si="19"/>
        <v>[pt]Norwegen</v>
      </c>
      <c r="K483" s="454" t="str">
        <f t="shared" si="20"/>
        <v>[gr]Norwegen</v>
      </c>
      <c r="L483" s="525" t="s">
        <v>538</v>
      </c>
      <c r="M483" s="455" t="str">
        <f t="shared" si="18"/>
        <v/>
      </c>
    </row>
    <row r="484" spans="1:13" ht="15.75" customHeight="1">
      <c r="A484" s="523" t="s">
        <v>540</v>
      </c>
      <c r="B484" s="474" t="s">
        <v>2738</v>
      </c>
      <c r="C484" s="523" t="s">
        <v>2739</v>
      </c>
      <c r="D484" s="453" t="str">
        <f t="shared" si="17"/>
        <v>NPL Nepal</v>
      </c>
      <c r="E484" s="451" t="s">
        <v>539</v>
      </c>
      <c r="F484" s="454" t="s">
        <v>2740</v>
      </c>
      <c r="G484" s="451" t="s">
        <v>2740</v>
      </c>
      <c r="H484" s="451" t="s">
        <v>539</v>
      </c>
      <c r="I484" s="451" t="s">
        <v>2741</v>
      </c>
      <c r="J484" s="454" t="str">
        <f t="shared" si="19"/>
        <v>[pt]Nepal</v>
      </c>
      <c r="K484" s="454" t="str">
        <f t="shared" si="20"/>
        <v>[gr]Nepal</v>
      </c>
      <c r="L484" s="525" t="s">
        <v>540</v>
      </c>
      <c r="M484" s="455" t="str">
        <f t="shared" si="18"/>
        <v/>
      </c>
    </row>
    <row r="485" spans="1:13" ht="15.75" customHeight="1">
      <c r="A485" s="523" t="s">
        <v>542</v>
      </c>
      <c r="B485" s="474" t="s">
        <v>2742</v>
      </c>
      <c r="C485" s="523" t="s">
        <v>2743</v>
      </c>
      <c r="D485" s="453" t="str">
        <f t="shared" si="17"/>
        <v>NRU Nauru</v>
      </c>
      <c r="E485" s="451" t="s">
        <v>541</v>
      </c>
      <c r="F485" s="454" t="s">
        <v>2744</v>
      </c>
      <c r="G485" s="451" t="s">
        <v>2744</v>
      </c>
      <c r="H485" s="451" t="s">
        <v>541</v>
      </c>
      <c r="I485" s="451" t="s">
        <v>541</v>
      </c>
      <c r="J485" s="454" t="str">
        <f t="shared" si="19"/>
        <v>[pt]Nauru</v>
      </c>
      <c r="K485" s="454" t="str">
        <f t="shared" si="20"/>
        <v>[gr]Nauru</v>
      </c>
      <c r="L485" s="525" t="s">
        <v>542</v>
      </c>
      <c r="M485" s="455" t="str">
        <f t="shared" si="18"/>
        <v/>
      </c>
    </row>
    <row r="486" spans="1:13" ht="15.75" customHeight="1">
      <c r="A486" s="523" t="s">
        <v>544</v>
      </c>
      <c r="B486" s="474" t="s">
        <v>2745</v>
      </c>
      <c r="C486" s="523" t="s">
        <v>2746</v>
      </c>
      <c r="D486" s="453" t="str">
        <f t="shared" si="17"/>
        <v>NZL Neuseeland</v>
      </c>
      <c r="E486" s="451" t="s">
        <v>2747</v>
      </c>
      <c r="F486" s="454" t="s">
        <v>2748</v>
      </c>
      <c r="G486" s="451" t="s">
        <v>2749</v>
      </c>
      <c r="H486" s="451" t="s">
        <v>2750</v>
      </c>
      <c r="I486" s="451" t="s">
        <v>2751</v>
      </c>
      <c r="J486" s="454" t="str">
        <f t="shared" si="19"/>
        <v>[pt]Neuseeland</v>
      </c>
      <c r="K486" s="454" t="str">
        <f t="shared" si="20"/>
        <v>[gr]Neuseeland</v>
      </c>
      <c r="L486" s="525" t="s">
        <v>544</v>
      </c>
      <c r="M486" s="455" t="str">
        <f t="shared" si="18"/>
        <v/>
      </c>
    </row>
    <row r="487" spans="1:13" ht="15.75" customHeight="1">
      <c r="A487" s="523" t="s">
        <v>546</v>
      </c>
      <c r="B487" s="474" t="s">
        <v>2752</v>
      </c>
      <c r="C487" s="523" t="s">
        <v>2753</v>
      </c>
      <c r="D487" s="453" t="str">
        <f t="shared" si="17"/>
        <v>OMN Oman</v>
      </c>
      <c r="E487" s="451" t="s">
        <v>545</v>
      </c>
      <c r="F487" s="454" t="s">
        <v>2754</v>
      </c>
      <c r="G487" s="451" t="s">
        <v>2754</v>
      </c>
      <c r="H487" s="451" t="s">
        <v>2755</v>
      </c>
      <c r="I487" s="451" t="s">
        <v>545</v>
      </c>
      <c r="J487" s="454" t="str">
        <f t="shared" si="19"/>
        <v>[pt]Oman</v>
      </c>
      <c r="K487" s="454" t="str">
        <f t="shared" si="20"/>
        <v>[gr]Oman</v>
      </c>
      <c r="L487" s="525" t="s">
        <v>546</v>
      </c>
      <c r="M487" s="455" t="str">
        <f t="shared" si="18"/>
        <v/>
      </c>
    </row>
    <row r="488" spans="1:13" ht="15.75" customHeight="1">
      <c r="A488" s="523" t="s">
        <v>548</v>
      </c>
      <c r="B488" s="474" t="s">
        <v>2756</v>
      </c>
      <c r="C488" s="523" t="s">
        <v>2757</v>
      </c>
      <c r="D488" s="453" t="str">
        <f t="shared" si="17"/>
        <v>PAK Pakistan</v>
      </c>
      <c r="E488" s="451" t="s">
        <v>547</v>
      </c>
      <c r="F488" s="454" t="s">
        <v>2758</v>
      </c>
      <c r="G488" s="451" t="s">
        <v>2758</v>
      </c>
      <c r="H488" s="451" t="s">
        <v>2759</v>
      </c>
      <c r="I488" s="451" t="s">
        <v>547</v>
      </c>
      <c r="J488" s="454" t="str">
        <f t="shared" si="19"/>
        <v>[pt]Pakistan</v>
      </c>
      <c r="K488" s="454" t="str">
        <f t="shared" si="20"/>
        <v>[gr]Pakistan</v>
      </c>
      <c r="L488" s="525" t="s">
        <v>548</v>
      </c>
      <c r="M488" s="455" t="str">
        <f t="shared" si="18"/>
        <v/>
      </c>
    </row>
    <row r="489" spans="1:13" ht="15.75" customHeight="1">
      <c r="A489" s="523" t="s">
        <v>550</v>
      </c>
      <c r="B489" s="474" t="s">
        <v>2760</v>
      </c>
      <c r="C489" s="523" t="s">
        <v>2761</v>
      </c>
      <c r="D489" s="453" t="str">
        <f t="shared" si="17"/>
        <v>PAN Panama</v>
      </c>
      <c r="E489" s="451" t="s">
        <v>549</v>
      </c>
      <c r="F489" s="454" t="s">
        <v>2762</v>
      </c>
      <c r="G489" s="451" t="s">
        <v>2763</v>
      </c>
      <c r="H489" s="451" t="s">
        <v>2764</v>
      </c>
      <c r="I489" s="451" t="s">
        <v>549</v>
      </c>
      <c r="J489" s="454" t="str">
        <f t="shared" ref="J489:J520" si="21">"[pt]"&amp;E489</f>
        <v>[pt]Panama</v>
      </c>
      <c r="K489" s="454" t="str">
        <f t="shared" ref="K489:K520" si="22">"[gr]"&amp;E489</f>
        <v>[gr]Panama</v>
      </c>
      <c r="L489" s="525" t="s">
        <v>550</v>
      </c>
      <c r="M489" s="455" t="str">
        <f t="shared" si="18"/>
        <v/>
      </c>
    </row>
    <row r="490" spans="1:13" ht="15.75" customHeight="1">
      <c r="A490" s="523" t="s">
        <v>552</v>
      </c>
      <c r="B490" s="474" t="s">
        <v>2765</v>
      </c>
      <c r="C490" s="523" t="s">
        <v>2766</v>
      </c>
      <c r="D490" s="453" t="str">
        <f t="shared" si="17"/>
        <v>PER Peru</v>
      </c>
      <c r="E490" s="451" t="s">
        <v>551</v>
      </c>
      <c r="F490" s="454" t="s">
        <v>2767</v>
      </c>
      <c r="G490" s="451" t="s">
        <v>2768</v>
      </c>
      <c r="H490" s="451" t="s">
        <v>2769</v>
      </c>
      <c r="I490" s="451" t="s">
        <v>2770</v>
      </c>
      <c r="J490" s="454" t="str">
        <f t="shared" si="21"/>
        <v>[pt]Peru</v>
      </c>
      <c r="K490" s="454" t="str">
        <f t="shared" si="22"/>
        <v>[gr]Peru</v>
      </c>
      <c r="L490" s="525" t="s">
        <v>552</v>
      </c>
      <c r="M490" s="455" t="str">
        <f t="shared" si="18"/>
        <v/>
      </c>
    </row>
    <row r="491" spans="1:13" ht="15.75" customHeight="1">
      <c r="A491" s="523" t="s">
        <v>554</v>
      </c>
      <c r="B491" s="474" t="s">
        <v>2771</v>
      </c>
      <c r="C491" s="523" t="s">
        <v>2772</v>
      </c>
      <c r="D491" s="453" t="str">
        <f t="shared" si="17"/>
        <v>PHL Philippinen</v>
      </c>
      <c r="E491" s="451" t="s">
        <v>2773</v>
      </c>
      <c r="F491" s="454" t="s">
        <v>2774</v>
      </c>
      <c r="G491" s="451" t="s">
        <v>2775</v>
      </c>
      <c r="H491" s="451" t="s">
        <v>2776</v>
      </c>
      <c r="I491" s="451" t="s">
        <v>553</v>
      </c>
      <c r="J491" s="454" t="str">
        <f t="shared" si="21"/>
        <v>[pt]Philippinen</v>
      </c>
      <c r="K491" s="454" t="str">
        <f t="shared" si="22"/>
        <v>[gr]Philippinen</v>
      </c>
      <c r="L491" s="525" t="s">
        <v>554</v>
      </c>
      <c r="M491" s="455" t="str">
        <f t="shared" si="18"/>
        <v/>
      </c>
    </row>
    <row r="492" spans="1:13" ht="15.75" customHeight="1">
      <c r="A492" s="523" t="s">
        <v>556</v>
      </c>
      <c r="B492" s="474" t="s">
        <v>2777</v>
      </c>
      <c r="C492" s="523" t="s">
        <v>2778</v>
      </c>
      <c r="D492" s="453" t="str">
        <f t="shared" si="17"/>
        <v>PLW Palau</v>
      </c>
      <c r="E492" s="451" t="s">
        <v>555</v>
      </c>
      <c r="F492" s="454" t="s">
        <v>2779</v>
      </c>
      <c r="G492" s="451" t="s">
        <v>2779</v>
      </c>
      <c r="H492" s="451" t="s">
        <v>2780</v>
      </c>
      <c r="I492" s="451" t="s">
        <v>2780</v>
      </c>
      <c r="J492" s="454" t="str">
        <f t="shared" si="21"/>
        <v>[pt]Palau</v>
      </c>
      <c r="K492" s="454" t="str">
        <f t="shared" si="22"/>
        <v>[gr]Palau</v>
      </c>
      <c r="L492" s="525" t="s">
        <v>556</v>
      </c>
      <c r="M492" s="455" t="str">
        <f t="shared" si="18"/>
        <v/>
      </c>
    </row>
    <row r="493" spans="1:13" ht="15.75" customHeight="1">
      <c r="A493" s="523" t="s">
        <v>558</v>
      </c>
      <c r="B493" s="474" t="s">
        <v>2781</v>
      </c>
      <c r="C493" s="523" t="s">
        <v>2782</v>
      </c>
      <c r="D493" s="453" t="str">
        <f t="shared" si="17"/>
        <v>PNG Papua-Neuguinea</v>
      </c>
      <c r="E493" s="451" t="s">
        <v>2783</v>
      </c>
      <c r="F493" s="454" t="s">
        <v>2784</v>
      </c>
      <c r="G493" s="451" t="s">
        <v>2785</v>
      </c>
      <c r="H493" s="451" t="s">
        <v>2786</v>
      </c>
      <c r="I493" s="451" t="s">
        <v>2787</v>
      </c>
      <c r="J493" s="454" t="str">
        <f t="shared" si="21"/>
        <v>[pt]Papua-Neuguinea</v>
      </c>
      <c r="K493" s="454" t="str">
        <f t="shared" si="22"/>
        <v>[gr]Papua-Neuguinea</v>
      </c>
      <c r="L493" s="525" t="s">
        <v>558</v>
      </c>
      <c r="M493" s="455" t="str">
        <f t="shared" si="18"/>
        <v/>
      </c>
    </row>
    <row r="494" spans="1:13" ht="15.75" customHeight="1">
      <c r="A494" s="523" t="s">
        <v>560</v>
      </c>
      <c r="B494" s="474" t="s">
        <v>2788</v>
      </c>
      <c r="C494" s="523" t="s">
        <v>2789</v>
      </c>
      <c r="D494" s="453" t="str">
        <f t="shared" si="17"/>
        <v>POL Polen</v>
      </c>
      <c r="E494" s="451" t="s">
        <v>2790</v>
      </c>
      <c r="F494" s="454" t="s">
        <v>2791</v>
      </c>
      <c r="G494" s="451" t="s">
        <v>2792</v>
      </c>
      <c r="H494" s="451" t="s">
        <v>2793</v>
      </c>
      <c r="I494" s="451" t="s">
        <v>2794</v>
      </c>
      <c r="J494" s="454" t="str">
        <f t="shared" si="21"/>
        <v>[pt]Polen</v>
      </c>
      <c r="K494" s="454" t="str">
        <f t="shared" si="22"/>
        <v>[gr]Polen</v>
      </c>
      <c r="L494" s="525" t="s">
        <v>560</v>
      </c>
      <c r="M494" s="455" t="str">
        <f t="shared" si="18"/>
        <v/>
      </c>
    </row>
    <row r="495" spans="1:13" ht="15.75" customHeight="1">
      <c r="A495" s="523" t="s">
        <v>562</v>
      </c>
      <c r="B495" s="474" t="s">
        <v>2795</v>
      </c>
      <c r="C495" s="523" t="s">
        <v>2796</v>
      </c>
      <c r="D495" s="453" t="str">
        <f t="shared" si="17"/>
        <v>PRI Puerto Rico</v>
      </c>
      <c r="E495" s="451" t="s">
        <v>561</v>
      </c>
      <c r="F495" s="454" t="s">
        <v>2797</v>
      </c>
      <c r="G495" s="451" t="s">
        <v>2798</v>
      </c>
      <c r="H495" s="451" t="s">
        <v>561</v>
      </c>
      <c r="I495" s="451" t="s">
        <v>561</v>
      </c>
      <c r="J495" s="454" t="str">
        <f t="shared" si="21"/>
        <v>[pt]Puerto Rico</v>
      </c>
      <c r="K495" s="454" t="str">
        <f t="shared" si="22"/>
        <v>[gr]Puerto Rico</v>
      </c>
      <c r="L495" s="525" t="s">
        <v>562</v>
      </c>
      <c r="M495" s="455" t="str">
        <f t="shared" si="18"/>
        <v/>
      </c>
    </row>
    <row r="496" spans="1:13" ht="15.75" customHeight="1">
      <c r="A496" s="523" t="s">
        <v>564</v>
      </c>
      <c r="B496" s="474" t="s">
        <v>2799</v>
      </c>
      <c r="C496" s="523" t="s">
        <v>2800</v>
      </c>
      <c r="D496" s="453" t="str">
        <f t="shared" si="17"/>
        <v>PRK Korea, Demokratische Volksrepublik (Nordkorea)</v>
      </c>
      <c r="E496" s="451" t="s">
        <v>2801</v>
      </c>
      <c r="F496" s="454" t="s">
        <v>2802</v>
      </c>
      <c r="G496" s="451" t="s">
        <v>2803</v>
      </c>
      <c r="H496" s="451" t="s">
        <v>2804</v>
      </c>
      <c r="I496" s="451" t="s">
        <v>2805</v>
      </c>
      <c r="J496" s="454" t="str">
        <f t="shared" si="21"/>
        <v>[pt]Korea, Demokratische Volksrepublik (Nordkorea)</v>
      </c>
      <c r="K496" s="454" t="str">
        <f t="shared" si="22"/>
        <v>[gr]Korea, Demokratische Volksrepublik (Nordkorea)</v>
      </c>
      <c r="L496" s="525" t="s">
        <v>564</v>
      </c>
      <c r="M496" s="455" t="str">
        <f t="shared" si="18"/>
        <v/>
      </c>
    </row>
    <row r="497" spans="1:13" ht="15.75" customHeight="1">
      <c r="A497" s="523" t="s">
        <v>566</v>
      </c>
      <c r="B497" s="474" t="s">
        <v>2806</v>
      </c>
      <c r="C497" s="523" t="s">
        <v>2807</v>
      </c>
      <c r="D497" s="453" t="str">
        <f t="shared" si="17"/>
        <v>PRT Portugal</v>
      </c>
      <c r="E497" s="451" t="s">
        <v>565</v>
      </c>
      <c r="F497" s="454" t="s">
        <v>2808</v>
      </c>
      <c r="G497" s="451" t="s">
        <v>2809</v>
      </c>
      <c r="H497" s="451" t="s">
        <v>565</v>
      </c>
      <c r="I497" s="451" t="s">
        <v>565</v>
      </c>
      <c r="J497" s="454" t="str">
        <f t="shared" si="21"/>
        <v>[pt]Portugal</v>
      </c>
      <c r="K497" s="454" t="str">
        <f t="shared" si="22"/>
        <v>[gr]Portugal</v>
      </c>
      <c r="L497" s="525" t="s">
        <v>566</v>
      </c>
      <c r="M497" s="455" t="str">
        <f t="shared" si="18"/>
        <v/>
      </c>
    </row>
    <row r="498" spans="1:13" ht="15.75" customHeight="1">
      <c r="A498" s="523" t="s">
        <v>568</v>
      </c>
      <c r="B498" s="474" t="s">
        <v>2810</v>
      </c>
      <c r="C498" s="523" t="s">
        <v>2811</v>
      </c>
      <c r="D498" s="453" t="str">
        <f t="shared" si="17"/>
        <v>PRY Paraguay</v>
      </c>
      <c r="E498" s="451" t="s">
        <v>567</v>
      </c>
      <c r="F498" s="454" t="s">
        <v>2812</v>
      </c>
      <c r="G498" s="451" t="s">
        <v>2812</v>
      </c>
      <c r="H498" s="451" t="s">
        <v>567</v>
      </c>
      <c r="I498" s="451" t="s">
        <v>567</v>
      </c>
      <c r="J498" s="454" t="str">
        <f t="shared" si="21"/>
        <v>[pt]Paraguay</v>
      </c>
      <c r="K498" s="454" t="str">
        <f t="shared" si="22"/>
        <v>[gr]Paraguay</v>
      </c>
      <c r="L498" s="525" t="s">
        <v>568</v>
      </c>
      <c r="M498" s="455" t="str">
        <f t="shared" si="18"/>
        <v/>
      </c>
    </row>
    <row r="499" spans="1:13" ht="15.75" customHeight="1">
      <c r="A499" s="523" t="s">
        <v>570</v>
      </c>
      <c r="B499" s="474" t="s">
        <v>2813</v>
      </c>
      <c r="C499" s="523" t="s">
        <v>2814</v>
      </c>
      <c r="D499" s="453" t="str">
        <f t="shared" si="17"/>
        <v>PSE Palästinensische Autonomiegebiete</v>
      </c>
      <c r="E499" s="451" t="s">
        <v>2815</v>
      </c>
      <c r="F499" s="454" t="s">
        <v>2816</v>
      </c>
      <c r="G499" s="451" t="s">
        <v>2817</v>
      </c>
      <c r="H499" s="451" t="s">
        <v>2818</v>
      </c>
      <c r="I499" s="451" t="s">
        <v>2819</v>
      </c>
      <c r="J499" s="454" t="str">
        <f t="shared" si="21"/>
        <v>[pt]Palästinensische Autonomiegebiete</v>
      </c>
      <c r="K499" s="454" t="str">
        <f t="shared" si="22"/>
        <v>[gr]Palästinensische Autonomiegebiete</v>
      </c>
      <c r="L499" s="525" t="s">
        <v>570</v>
      </c>
      <c r="M499" s="455" t="str">
        <f t="shared" si="18"/>
        <v/>
      </c>
    </row>
    <row r="500" spans="1:13" ht="15.75" customHeight="1">
      <c r="A500" s="523" t="s">
        <v>572</v>
      </c>
      <c r="B500" s="474" t="s">
        <v>2820</v>
      </c>
      <c r="C500" s="523" t="s">
        <v>2821</v>
      </c>
      <c r="D500" s="453" t="str">
        <f t="shared" si="17"/>
        <v>PYF Französisch-Polynesien</v>
      </c>
      <c r="E500" s="451" t="s">
        <v>2822</v>
      </c>
      <c r="F500" s="454" t="s">
        <v>2823</v>
      </c>
      <c r="G500" s="451" t="s">
        <v>2824</v>
      </c>
      <c r="H500" s="451" t="s">
        <v>2825</v>
      </c>
      <c r="I500" s="451" t="s">
        <v>2826</v>
      </c>
      <c r="J500" s="454" t="str">
        <f t="shared" si="21"/>
        <v>[pt]Französisch-Polynesien</v>
      </c>
      <c r="K500" s="454" t="str">
        <f t="shared" si="22"/>
        <v>[gr]Französisch-Polynesien</v>
      </c>
      <c r="L500" s="525" t="s">
        <v>572</v>
      </c>
      <c r="M500" s="455" t="str">
        <f t="shared" si="18"/>
        <v/>
      </c>
    </row>
    <row r="501" spans="1:13" ht="15.75" customHeight="1">
      <c r="A501" s="523" t="s">
        <v>574</v>
      </c>
      <c r="B501" s="474" t="s">
        <v>2827</v>
      </c>
      <c r="C501" s="523" t="s">
        <v>2828</v>
      </c>
      <c r="D501" s="453" t="str">
        <f t="shared" si="17"/>
        <v>QAT Katar</v>
      </c>
      <c r="E501" s="451" t="s">
        <v>2829</v>
      </c>
      <c r="F501" s="454" t="s">
        <v>2830</v>
      </c>
      <c r="G501" s="451" t="s">
        <v>2830</v>
      </c>
      <c r="H501" s="451" t="s">
        <v>2831</v>
      </c>
      <c r="I501" s="451" t="s">
        <v>573</v>
      </c>
      <c r="J501" s="454" t="str">
        <f t="shared" si="21"/>
        <v>[pt]Katar</v>
      </c>
      <c r="K501" s="454" t="str">
        <f t="shared" si="22"/>
        <v>[gr]Katar</v>
      </c>
      <c r="L501" s="525" t="s">
        <v>574</v>
      </c>
      <c r="M501" s="455" t="str">
        <f t="shared" si="18"/>
        <v/>
      </c>
    </row>
    <row r="502" spans="1:13" ht="15.75" customHeight="1">
      <c r="A502" s="523" t="s">
        <v>576</v>
      </c>
      <c r="B502" s="474" t="s">
        <v>2832</v>
      </c>
      <c r="C502" s="523" t="s">
        <v>2833</v>
      </c>
      <c r="D502" s="453" t="str">
        <f t="shared" si="17"/>
        <v>ROU Rumänien</v>
      </c>
      <c r="E502" s="451" t="s">
        <v>2834</v>
      </c>
      <c r="F502" s="454" t="s">
        <v>2835</v>
      </c>
      <c r="G502" s="451" t="s">
        <v>2835</v>
      </c>
      <c r="H502" s="451" t="s">
        <v>2836</v>
      </c>
      <c r="I502" s="451" t="s">
        <v>2837</v>
      </c>
      <c r="J502" s="454" t="str">
        <f t="shared" si="21"/>
        <v>[pt]Rumänien</v>
      </c>
      <c r="K502" s="454" t="str">
        <f t="shared" si="22"/>
        <v>[gr]Rumänien</v>
      </c>
      <c r="L502" s="525" t="s">
        <v>576</v>
      </c>
      <c r="M502" s="455" t="str">
        <f t="shared" si="18"/>
        <v/>
      </c>
    </row>
    <row r="503" spans="1:13" ht="15.75" customHeight="1">
      <c r="A503" s="523" t="s">
        <v>578</v>
      </c>
      <c r="B503" s="474" t="s">
        <v>2838</v>
      </c>
      <c r="C503" s="523" t="s">
        <v>2839</v>
      </c>
      <c r="D503" s="453" t="str">
        <f t="shared" si="17"/>
        <v>RUS Russische Föderation</v>
      </c>
      <c r="E503" s="451" t="s">
        <v>2840</v>
      </c>
      <c r="F503" s="454" t="s">
        <v>2841</v>
      </c>
      <c r="G503" s="451" t="s">
        <v>2842</v>
      </c>
      <c r="H503" s="451" t="s">
        <v>2843</v>
      </c>
      <c r="I503" s="451" t="s">
        <v>2844</v>
      </c>
      <c r="J503" s="454" t="str">
        <f t="shared" si="21"/>
        <v>[pt]Russische Föderation</v>
      </c>
      <c r="K503" s="454" t="str">
        <f t="shared" si="22"/>
        <v>[gr]Russische Föderation</v>
      </c>
      <c r="L503" s="525" t="s">
        <v>578</v>
      </c>
      <c r="M503" s="455" t="str">
        <f t="shared" si="18"/>
        <v/>
      </c>
    </row>
    <row r="504" spans="1:13" ht="15.75" customHeight="1">
      <c r="A504" s="523" t="s">
        <v>580</v>
      </c>
      <c r="B504" s="474" t="s">
        <v>2845</v>
      </c>
      <c r="C504" s="523" t="s">
        <v>2846</v>
      </c>
      <c r="D504" s="453" t="str">
        <f t="shared" si="17"/>
        <v>RWA Ruanda</v>
      </c>
      <c r="E504" s="451" t="s">
        <v>2847</v>
      </c>
      <c r="F504" s="454" t="s">
        <v>2848</v>
      </c>
      <c r="G504" s="451" t="s">
        <v>2849</v>
      </c>
      <c r="H504" s="451" t="s">
        <v>2847</v>
      </c>
      <c r="I504" s="451" t="s">
        <v>579</v>
      </c>
      <c r="J504" s="454" t="str">
        <f t="shared" si="21"/>
        <v>[pt]Ruanda</v>
      </c>
      <c r="K504" s="454" t="str">
        <f t="shared" si="22"/>
        <v>[gr]Ruanda</v>
      </c>
      <c r="L504" s="525" t="s">
        <v>580</v>
      </c>
      <c r="M504" s="455" t="str">
        <f t="shared" si="18"/>
        <v/>
      </c>
    </row>
    <row r="505" spans="1:13" ht="15.75" customHeight="1">
      <c r="A505" s="523" t="s">
        <v>582</v>
      </c>
      <c r="B505" s="474" t="s">
        <v>2850</v>
      </c>
      <c r="C505" s="523" t="s">
        <v>2851</v>
      </c>
      <c r="D505" s="453" t="str">
        <f t="shared" si="17"/>
        <v>SAU Saudi-Arabien</v>
      </c>
      <c r="E505" s="451" t="s">
        <v>2852</v>
      </c>
      <c r="F505" s="454" t="s">
        <v>2853</v>
      </c>
      <c r="G505" s="451" t="s">
        <v>2854</v>
      </c>
      <c r="H505" s="451" t="s">
        <v>2855</v>
      </c>
      <c r="I505" s="451" t="s">
        <v>2856</v>
      </c>
      <c r="J505" s="454" t="str">
        <f t="shared" si="21"/>
        <v>[pt]Saudi-Arabien</v>
      </c>
      <c r="K505" s="454" t="str">
        <f t="shared" si="22"/>
        <v>[gr]Saudi-Arabien</v>
      </c>
      <c r="L505" s="525" t="s">
        <v>582</v>
      </c>
      <c r="M505" s="455" t="str">
        <f t="shared" si="18"/>
        <v/>
      </c>
    </row>
    <row r="506" spans="1:13" ht="15.75" customHeight="1">
      <c r="A506" s="523" t="s">
        <v>584</v>
      </c>
      <c r="B506" s="474" t="s">
        <v>2857</v>
      </c>
      <c r="C506" s="523" t="s">
        <v>2858</v>
      </c>
      <c r="D506" s="453" t="str">
        <f t="shared" si="17"/>
        <v>SDN Sudan</v>
      </c>
      <c r="E506" s="451" t="s">
        <v>583</v>
      </c>
      <c r="F506" s="454" t="s">
        <v>2859</v>
      </c>
      <c r="G506" s="451" t="s">
        <v>2859</v>
      </c>
      <c r="H506" s="451" t="s">
        <v>2860</v>
      </c>
      <c r="I506" s="451" t="s">
        <v>2861</v>
      </c>
      <c r="J506" s="454" t="str">
        <f t="shared" si="21"/>
        <v>[pt]Sudan</v>
      </c>
      <c r="K506" s="454" t="str">
        <f t="shared" si="22"/>
        <v>[gr]Sudan</v>
      </c>
      <c r="L506" s="525" t="s">
        <v>584</v>
      </c>
      <c r="M506" s="455" t="str">
        <f t="shared" si="18"/>
        <v/>
      </c>
    </row>
    <row r="507" spans="1:13" ht="15.75" customHeight="1">
      <c r="A507" s="523" t="s">
        <v>586</v>
      </c>
      <c r="B507" s="474" t="s">
        <v>2862</v>
      </c>
      <c r="C507" s="523" t="s">
        <v>2863</v>
      </c>
      <c r="D507" s="453" t="str">
        <f t="shared" si="17"/>
        <v>SEN Senegal</v>
      </c>
      <c r="E507" s="451" t="s">
        <v>585</v>
      </c>
      <c r="F507" s="454" t="s">
        <v>2864</v>
      </c>
      <c r="G507" s="451" t="s">
        <v>2864</v>
      </c>
      <c r="H507" s="451" t="s">
        <v>585</v>
      </c>
      <c r="I507" s="451" t="s">
        <v>2865</v>
      </c>
      <c r="J507" s="454" t="str">
        <f t="shared" si="21"/>
        <v>[pt]Senegal</v>
      </c>
      <c r="K507" s="454" t="str">
        <f t="shared" si="22"/>
        <v>[gr]Senegal</v>
      </c>
      <c r="L507" s="525" t="s">
        <v>586</v>
      </c>
      <c r="M507" s="455" t="str">
        <f t="shared" si="18"/>
        <v/>
      </c>
    </row>
    <row r="508" spans="1:13" ht="15.75" customHeight="1">
      <c r="A508" s="523" t="s">
        <v>588</v>
      </c>
      <c r="B508" s="474" t="s">
        <v>2866</v>
      </c>
      <c r="C508" s="523" t="s">
        <v>2867</v>
      </c>
      <c r="D508" s="453" t="str">
        <f t="shared" si="17"/>
        <v>SGP Singapur</v>
      </c>
      <c r="E508" s="451" t="s">
        <v>2868</v>
      </c>
      <c r="F508" s="454" t="s">
        <v>2869</v>
      </c>
      <c r="G508" s="451" t="s">
        <v>2869</v>
      </c>
      <c r="H508" s="451" t="s">
        <v>2868</v>
      </c>
      <c r="I508" s="451" t="s">
        <v>2870</v>
      </c>
      <c r="J508" s="454" t="str">
        <f t="shared" si="21"/>
        <v>[pt]Singapur</v>
      </c>
      <c r="K508" s="454" t="str">
        <f t="shared" si="22"/>
        <v>[gr]Singapur</v>
      </c>
      <c r="L508" s="525" t="s">
        <v>588</v>
      </c>
      <c r="M508" s="455" t="str">
        <f t="shared" si="18"/>
        <v/>
      </c>
    </row>
    <row r="509" spans="1:13" ht="15.75" customHeight="1">
      <c r="A509" s="523" t="s">
        <v>590</v>
      </c>
      <c r="B509" s="474" t="s">
        <v>2871</v>
      </c>
      <c r="C509" s="523" t="s">
        <v>2872</v>
      </c>
      <c r="D509" s="453" t="str">
        <f t="shared" si="17"/>
        <v>SLB Salomonen</v>
      </c>
      <c r="E509" s="451" t="s">
        <v>2873</v>
      </c>
      <c r="F509" s="454" t="s">
        <v>2874</v>
      </c>
      <c r="G509" s="451" t="s">
        <v>2875</v>
      </c>
      <c r="H509" s="451" t="s">
        <v>2876</v>
      </c>
      <c r="I509" s="451" t="s">
        <v>2877</v>
      </c>
      <c r="J509" s="454" t="str">
        <f t="shared" si="21"/>
        <v>[pt]Salomonen</v>
      </c>
      <c r="K509" s="454" t="str">
        <f t="shared" si="22"/>
        <v>[gr]Salomonen</v>
      </c>
      <c r="L509" s="525" t="s">
        <v>590</v>
      </c>
      <c r="M509" s="455" t="str">
        <f t="shared" si="18"/>
        <v/>
      </c>
    </row>
    <row r="510" spans="1:13" ht="15.75" customHeight="1">
      <c r="A510" s="523" t="s">
        <v>592</v>
      </c>
      <c r="B510" s="474" t="s">
        <v>2878</v>
      </c>
      <c r="C510" s="523" t="s">
        <v>2879</v>
      </c>
      <c r="D510" s="453" t="str">
        <f t="shared" si="17"/>
        <v>SLE Sierra Leone</v>
      </c>
      <c r="E510" s="451" t="s">
        <v>591</v>
      </c>
      <c r="F510" s="454" t="s">
        <v>2880</v>
      </c>
      <c r="G510" s="451" t="s">
        <v>2880</v>
      </c>
      <c r="H510" s="451" t="s">
        <v>2881</v>
      </c>
      <c r="I510" s="451" t="s">
        <v>591</v>
      </c>
      <c r="J510" s="454" t="str">
        <f t="shared" si="21"/>
        <v>[pt]Sierra Leone</v>
      </c>
      <c r="K510" s="454" t="str">
        <f t="shared" si="22"/>
        <v>[gr]Sierra Leone</v>
      </c>
      <c r="L510" s="525" t="s">
        <v>592</v>
      </c>
      <c r="M510" s="455" t="str">
        <f t="shared" si="18"/>
        <v/>
      </c>
    </row>
    <row r="511" spans="1:13" ht="15.75" customHeight="1">
      <c r="A511" s="523" t="s">
        <v>594</v>
      </c>
      <c r="B511" s="474" t="s">
        <v>2882</v>
      </c>
      <c r="C511" s="523" t="s">
        <v>2883</v>
      </c>
      <c r="D511" s="453" t="str">
        <f t="shared" si="17"/>
        <v>SLV El Salvador</v>
      </c>
      <c r="E511" s="451" t="s">
        <v>593</v>
      </c>
      <c r="F511" s="454" t="s">
        <v>2884</v>
      </c>
      <c r="G511" s="451" t="s">
        <v>2884</v>
      </c>
      <c r="H511" s="451" t="s">
        <v>593</v>
      </c>
      <c r="I511" s="451" t="s">
        <v>2885</v>
      </c>
      <c r="J511" s="454" t="str">
        <f t="shared" si="21"/>
        <v>[pt]El Salvador</v>
      </c>
      <c r="K511" s="454" t="str">
        <f t="shared" si="22"/>
        <v>[gr]El Salvador</v>
      </c>
      <c r="L511" s="525" t="s">
        <v>594</v>
      </c>
      <c r="M511" s="455" t="str">
        <f t="shared" si="18"/>
        <v/>
      </c>
    </row>
    <row r="512" spans="1:13" ht="15.75" customHeight="1">
      <c r="A512" s="523" t="s">
        <v>596</v>
      </c>
      <c r="B512" s="474" t="s">
        <v>2886</v>
      </c>
      <c r="C512" s="523" t="s">
        <v>2887</v>
      </c>
      <c r="D512" s="453" t="str">
        <f t="shared" si="17"/>
        <v>SMR San Marino</v>
      </c>
      <c r="E512" s="451" t="s">
        <v>595</v>
      </c>
      <c r="F512" s="454" t="s">
        <v>2888</v>
      </c>
      <c r="G512" s="451" t="s">
        <v>2888</v>
      </c>
      <c r="H512" s="451" t="s">
        <v>595</v>
      </c>
      <c r="I512" s="451" t="s">
        <v>2889</v>
      </c>
      <c r="J512" s="454" t="str">
        <f t="shared" si="21"/>
        <v>[pt]San Marino</v>
      </c>
      <c r="K512" s="454" t="str">
        <f t="shared" si="22"/>
        <v>[gr]San Marino</v>
      </c>
      <c r="L512" s="525" t="s">
        <v>596</v>
      </c>
      <c r="M512" s="455" t="str">
        <f t="shared" si="18"/>
        <v/>
      </c>
    </row>
    <row r="513" spans="1:13" ht="15.75" customHeight="1">
      <c r="A513" s="523" t="s">
        <v>598</v>
      </c>
      <c r="B513" s="474" t="s">
        <v>2890</v>
      </c>
      <c r="C513" s="523" t="s">
        <v>2891</v>
      </c>
      <c r="D513" s="453" t="str">
        <f t="shared" si="17"/>
        <v>SOM Somalia</v>
      </c>
      <c r="E513" s="451" t="s">
        <v>597</v>
      </c>
      <c r="F513" s="454" t="s">
        <v>2892</v>
      </c>
      <c r="G513" s="451" t="s">
        <v>2892</v>
      </c>
      <c r="H513" s="451" t="s">
        <v>597</v>
      </c>
      <c r="I513" s="451" t="s">
        <v>2893</v>
      </c>
      <c r="J513" s="454" t="str">
        <f t="shared" si="21"/>
        <v>[pt]Somalia</v>
      </c>
      <c r="K513" s="454" t="str">
        <f t="shared" si="22"/>
        <v>[gr]Somalia</v>
      </c>
      <c r="L513" s="525" t="s">
        <v>598</v>
      </c>
      <c r="M513" s="455" t="str">
        <f t="shared" si="18"/>
        <v/>
      </c>
    </row>
    <row r="514" spans="1:13" ht="15.75" customHeight="1">
      <c r="A514" s="523" t="s">
        <v>600</v>
      </c>
      <c r="B514" s="474" t="s">
        <v>2894</v>
      </c>
      <c r="C514" s="523" t="s">
        <v>2895</v>
      </c>
      <c r="D514" s="453" t="str">
        <f t="shared" si="17"/>
        <v>SRB Serbien</v>
      </c>
      <c r="E514" s="451" t="s">
        <v>2896</v>
      </c>
      <c r="F514" s="454" t="s">
        <v>2897</v>
      </c>
      <c r="G514" s="451" t="s">
        <v>2897</v>
      </c>
      <c r="H514" s="451" t="s">
        <v>599</v>
      </c>
      <c r="I514" s="451" t="s">
        <v>2898</v>
      </c>
      <c r="J514" s="454" t="str">
        <f t="shared" si="21"/>
        <v>[pt]Serbien</v>
      </c>
      <c r="K514" s="454" t="str">
        <f t="shared" si="22"/>
        <v>[gr]Serbien</v>
      </c>
      <c r="L514" s="525" t="s">
        <v>600</v>
      </c>
      <c r="M514" s="455" t="str">
        <f t="shared" si="18"/>
        <v/>
      </c>
    </row>
    <row r="515" spans="1:13" ht="15.75" customHeight="1">
      <c r="A515" s="523" t="s">
        <v>602</v>
      </c>
      <c r="B515" s="474"/>
      <c r="C515" s="523" t="s">
        <v>2899</v>
      </c>
      <c r="D515" s="453" t="str">
        <f t="shared" si="17"/>
        <v>SSD Südsudan</v>
      </c>
      <c r="E515" s="451" t="s">
        <v>2900</v>
      </c>
      <c r="F515" s="454" t="s">
        <v>2901</v>
      </c>
      <c r="G515" s="451" t="s">
        <v>2902</v>
      </c>
      <c r="H515" s="451" t="s">
        <v>2903</v>
      </c>
      <c r="I515" s="451" t="s">
        <v>2904</v>
      </c>
      <c r="J515" s="454" t="str">
        <f t="shared" si="21"/>
        <v>[pt]Südsudan</v>
      </c>
      <c r="K515" s="454" t="str">
        <f t="shared" si="22"/>
        <v>[gr]Südsudan</v>
      </c>
      <c r="L515" s="525" t="s">
        <v>602</v>
      </c>
      <c r="M515" s="455" t="str">
        <f t="shared" si="18"/>
        <v/>
      </c>
    </row>
    <row r="516" spans="1:13" ht="15.75" customHeight="1">
      <c r="A516" s="523" t="s">
        <v>604</v>
      </c>
      <c r="B516" s="474" t="s">
        <v>2905</v>
      </c>
      <c r="C516" s="523" t="s">
        <v>2906</v>
      </c>
      <c r="D516" s="453" t="str">
        <f t="shared" si="17"/>
        <v>STP São Tomé und Príncipe</v>
      </c>
      <c r="E516" s="451" t="s">
        <v>2907</v>
      </c>
      <c r="F516" s="454" t="s">
        <v>2908</v>
      </c>
      <c r="G516" s="451" t="s">
        <v>2909</v>
      </c>
      <c r="H516" s="451" t="s">
        <v>2910</v>
      </c>
      <c r="I516" s="451" t="s">
        <v>2911</v>
      </c>
      <c r="J516" s="454" t="str">
        <f t="shared" si="21"/>
        <v>[pt]São Tomé und Príncipe</v>
      </c>
      <c r="K516" s="454" t="str">
        <f t="shared" si="22"/>
        <v>[gr]São Tomé und Príncipe</v>
      </c>
      <c r="L516" s="525" t="s">
        <v>604</v>
      </c>
      <c r="M516" s="455" t="str">
        <f t="shared" si="18"/>
        <v/>
      </c>
    </row>
    <row r="517" spans="1:13" ht="15.75" customHeight="1">
      <c r="A517" s="523" t="s">
        <v>606</v>
      </c>
      <c r="B517" s="474" t="s">
        <v>2912</v>
      </c>
      <c r="C517" s="523" t="s">
        <v>2913</v>
      </c>
      <c r="D517" s="453" t="str">
        <f t="shared" si="17"/>
        <v>SUR Suriname</v>
      </c>
      <c r="E517" s="451" t="s">
        <v>605</v>
      </c>
      <c r="F517" s="454" t="s">
        <v>2914</v>
      </c>
      <c r="G517" s="451" t="s">
        <v>2914</v>
      </c>
      <c r="H517" s="451" t="s">
        <v>2915</v>
      </c>
      <c r="I517" s="451" t="s">
        <v>2915</v>
      </c>
      <c r="J517" s="454" t="str">
        <f t="shared" si="21"/>
        <v>[pt]Suriname</v>
      </c>
      <c r="K517" s="454" t="str">
        <f t="shared" si="22"/>
        <v>[gr]Suriname</v>
      </c>
      <c r="L517" s="525" t="s">
        <v>606</v>
      </c>
      <c r="M517" s="455" t="str">
        <f t="shared" si="18"/>
        <v/>
      </c>
    </row>
    <row r="518" spans="1:13" ht="15.75" customHeight="1">
      <c r="A518" s="523" t="s">
        <v>608</v>
      </c>
      <c r="B518" s="474" t="s">
        <v>2916</v>
      </c>
      <c r="C518" s="523" t="s">
        <v>2917</v>
      </c>
      <c r="D518" s="453" t="str">
        <f t="shared" si="17"/>
        <v>SVK Slowakei</v>
      </c>
      <c r="E518" s="451" t="s">
        <v>2918</v>
      </c>
      <c r="F518" s="454" t="s">
        <v>2919</v>
      </c>
      <c r="G518" s="451" t="s">
        <v>2920</v>
      </c>
      <c r="H518" s="451" t="s">
        <v>2921</v>
      </c>
      <c r="I518" s="451" t="s">
        <v>2922</v>
      </c>
      <c r="J518" s="454" t="str">
        <f t="shared" si="21"/>
        <v>[pt]Slowakei</v>
      </c>
      <c r="K518" s="454" t="str">
        <f t="shared" si="22"/>
        <v>[gr]Slowakei</v>
      </c>
      <c r="L518" s="525" t="s">
        <v>608</v>
      </c>
      <c r="M518" s="455" t="str">
        <f t="shared" si="18"/>
        <v/>
      </c>
    </row>
    <row r="519" spans="1:13" ht="15.75" customHeight="1">
      <c r="A519" s="523" t="s">
        <v>610</v>
      </c>
      <c r="B519" s="474" t="s">
        <v>2923</v>
      </c>
      <c r="C519" s="523" t="s">
        <v>2924</v>
      </c>
      <c r="D519" s="453" t="str">
        <f t="shared" si="17"/>
        <v>SVN Slowenien</v>
      </c>
      <c r="E519" s="451" t="s">
        <v>2925</v>
      </c>
      <c r="F519" s="454" t="s">
        <v>2926</v>
      </c>
      <c r="G519" s="451" t="s">
        <v>2926</v>
      </c>
      <c r="H519" s="451" t="s">
        <v>2927</v>
      </c>
      <c r="I519" s="451" t="s">
        <v>2928</v>
      </c>
      <c r="J519" s="454" t="str">
        <f t="shared" si="21"/>
        <v>[pt]Slowenien</v>
      </c>
      <c r="K519" s="454" t="str">
        <f t="shared" si="22"/>
        <v>[gr]Slowenien</v>
      </c>
      <c r="L519" s="525" t="s">
        <v>610</v>
      </c>
      <c r="M519" s="455" t="str">
        <f t="shared" si="18"/>
        <v/>
      </c>
    </row>
    <row r="520" spans="1:13" ht="15.75" customHeight="1">
      <c r="A520" s="523" t="s">
        <v>612</v>
      </c>
      <c r="B520" s="474" t="s">
        <v>2929</v>
      </c>
      <c r="C520" s="523" t="s">
        <v>2930</v>
      </c>
      <c r="D520" s="453" t="str">
        <f t="shared" si="17"/>
        <v>SWE Schweden</v>
      </c>
      <c r="E520" s="451" t="s">
        <v>2931</v>
      </c>
      <c r="F520" s="454" t="s">
        <v>2932</v>
      </c>
      <c r="G520" s="451" t="s">
        <v>2933</v>
      </c>
      <c r="H520" s="451" t="s">
        <v>2934</v>
      </c>
      <c r="I520" s="451" t="s">
        <v>2935</v>
      </c>
      <c r="J520" s="454" t="str">
        <f t="shared" si="21"/>
        <v>[pt]Schweden</v>
      </c>
      <c r="K520" s="454" t="str">
        <f t="shared" si="22"/>
        <v>[gr]Schweden</v>
      </c>
      <c r="L520" s="525" t="s">
        <v>612</v>
      </c>
      <c r="M520" s="455" t="str">
        <f t="shared" si="18"/>
        <v/>
      </c>
    </row>
    <row r="521" spans="1:13" ht="15.75" customHeight="1">
      <c r="A521" s="523" t="s">
        <v>614</v>
      </c>
      <c r="B521" s="474" t="s">
        <v>2936</v>
      </c>
      <c r="C521" s="523" t="s">
        <v>2937</v>
      </c>
      <c r="D521" s="453" t="str">
        <f t="shared" si="17"/>
        <v>SWZ Swasiland</v>
      </c>
      <c r="E521" s="451" t="s">
        <v>2938</v>
      </c>
      <c r="F521" s="454" t="s">
        <v>2939</v>
      </c>
      <c r="G521" s="451" t="s">
        <v>2939</v>
      </c>
      <c r="H521" s="451" t="s">
        <v>2940</v>
      </c>
      <c r="I521" s="451" t="s">
        <v>613</v>
      </c>
      <c r="J521" s="454" t="str">
        <f t="shared" ref="J521:J552" si="23">"[pt]"&amp;E521</f>
        <v>[pt]Swasiland</v>
      </c>
      <c r="K521" s="454" t="str">
        <f t="shared" ref="K521:K552" si="24">"[gr]"&amp;E521</f>
        <v>[gr]Swasiland</v>
      </c>
      <c r="L521" s="525" t="s">
        <v>614</v>
      </c>
      <c r="M521" s="455" t="str">
        <f t="shared" si="18"/>
        <v/>
      </c>
    </row>
    <row r="522" spans="1:13" ht="15.75" customHeight="1">
      <c r="A522" s="523" t="s">
        <v>616</v>
      </c>
      <c r="B522" s="474" t="s">
        <v>2941</v>
      </c>
      <c r="C522" s="523" t="s">
        <v>2942</v>
      </c>
      <c r="D522" s="453" t="str">
        <f t="shared" si="17"/>
        <v>SXM Sint Maarten (niederl. Teil)</v>
      </c>
      <c r="E522" s="451" t="s">
        <v>2943</v>
      </c>
      <c r="F522" s="454" t="s">
        <v>2944</v>
      </c>
      <c r="G522" s="451" t="s">
        <v>2945</v>
      </c>
      <c r="H522" s="451" t="s">
        <v>2946</v>
      </c>
      <c r="I522" s="451" t="s">
        <v>2596</v>
      </c>
      <c r="J522" s="454" t="str">
        <f t="shared" si="23"/>
        <v>[pt]Sint Maarten (niederl. Teil)</v>
      </c>
      <c r="K522" s="454" t="str">
        <f t="shared" si="24"/>
        <v>[gr]Sint Maarten (niederl. Teil)</v>
      </c>
      <c r="L522" s="525" t="s">
        <v>616</v>
      </c>
      <c r="M522" s="455" t="str">
        <f t="shared" si="18"/>
        <v/>
      </c>
    </row>
    <row r="523" spans="1:13" ht="15.75" customHeight="1">
      <c r="A523" s="523" t="s">
        <v>618</v>
      </c>
      <c r="B523" s="474" t="s">
        <v>2947</v>
      </c>
      <c r="C523" s="523" t="s">
        <v>2948</v>
      </c>
      <c r="D523" s="453" t="str">
        <f t="shared" si="17"/>
        <v>SYC Seychellen</v>
      </c>
      <c r="E523" s="451" t="s">
        <v>2949</v>
      </c>
      <c r="F523" s="454" t="s">
        <v>2950</v>
      </c>
      <c r="G523" s="451" t="s">
        <v>2950</v>
      </c>
      <c r="H523" s="451" t="s">
        <v>617</v>
      </c>
      <c r="I523" s="451" t="s">
        <v>617</v>
      </c>
      <c r="J523" s="454" t="str">
        <f t="shared" si="23"/>
        <v>[pt]Seychellen</v>
      </c>
      <c r="K523" s="454" t="str">
        <f t="shared" si="24"/>
        <v>[gr]Seychellen</v>
      </c>
      <c r="L523" s="525" t="s">
        <v>618</v>
      </c>
      <c r="M523" s="455" t="str">
        <f t="shared" si="18"/>
        <v/>
      </c>
    </row>
    <row r="524" spans="1:13" ht="15.75" customHeight="1">
      <c r="A524" s="523" t="s">
        <v>620</v>
      </c>
      <c r="B524" s="474" t="s">
        <v>2951</v>
      </c>
      <c r="C524" s="523" t="s">
        <v>2952</v>
      </c>
      <c r="D524" s="453" t="str">
        <f t="shared" si="17"/>
        <v>SYR Syrien, Arabische Republik</v>
      </c>
      <c r="E524" s="451" t="s">
        <v>2953</v>
      </c>
      <c r="F524" s="454" t="s">
        <v>2954</v>
      </c>
      <c r="G524" s="451" t="s">
        <v>2955</v>
      </c>
      <c r="H524" s="451" t="s">
        <v>2956</v>
      </c>
      <c r="I524" s="451" t="s">
        <v>2957</v>
      </c>
      <c r="J524" s="454" t="str">
        <f t="shared" si="23"/>
        <v>[pt]Syrien, Arabische Republik</v>
      </c>
      <c r="K524" s="454" t="str">
        <f t="shared" si="24"/>
        <v>[gr]Syrien, Arabische Republik</v>
      </c>
      <c r="L524" s="525" t="s">
        <v>620</v>
      </c>
      <c r="M524" s="455" t="str">
        <f t="shared" si="18"/>
        <v/>
      </c>
    </row>
    <row r="525" spans="1:13" ht="15.75" customHeight="1">
      <c r="A525" s="523" t="s">
        <v>622</v>
      </c>
      <c r="B525" s="474" t="s">
        <v>2958</v>
      </c>
      <c r="C525" s="523" t="s">
        <v>2959</v>
      </c>
      <c r="D525" s="453" t="str">
        <f t="shared" si="17"/>
        <v>TCA Turks- und Caicosinseln</v>
      </c>
      <c r="E525" s="451" t="s">
        <v>2960</v>
      </c>
      <c r="F525" s="454" t="s">
        <v>2961</v>
      </c>
      <c r="G525" s="451" t="s">
        <v>2962</v>
      </c>
      <c r="H525" s="451" t="s">
        <v>2963</v>
      </c>
      <c r="I525" s="451" t="s">
        <v>2964</v>
      </c>
      <c r="J525" s="454" t="str">
        <f t="shared" si="23"/>
        <v>[pt]Turks- und Caicosinseln</v>
      </c>
      <c r="K525" s="454" t="str">
        <f t="shared" si="24"/>
        <v>[gr]Turks- und Caicosinseln</v>
      </c>
      <c r="L525" s="525" t="s">
        <v>622</v>
      </c>
      <c r="M525" s="455" t="str">
        <f t="shared" si="18"/>
        <v/>
      </c>
    </row>
    <row r="526" spans="1:13" ht="15.75" customHeight="1">
      <c r="A526" s="523" t="s">
        <v>624</v>
      </c>
      <c r="B526" s="474" t="s">
        <v>2965</v>
      </c>
      <c r="C526" s="523" t="s">
        <v>2966</v>
      </c>
      <c r="D526" s="453" t="str">
        <f t="shared" si="17"/>
        <v>TCD Tschad</v>
      </c>
      <c r="E526" s="451" t="s">
        <v>2967</v>
      </c>
      <c r="F526" s="454" t="s">
        <v>2968</v>
      </c>
      <c r="G526" s="451" t="s">
        <v>2969</v>
      </c>
      <c r="H526" s="451" t="s">
        <v>623</v>
      </c>
      <c r="I526" s="451" t="s">
        <v>2970</v>
      </c>
      <c r="J526" s="454" t="str">
        <f t="shared" si="23"/>
        <v>[pt]Tschad</v>
      </c>
      <c r="K526" s="454" t="str">
        <f t="shared" si="24"/>
        <v>[gr]Tschad</v>
      </c>
      <c r="L526" s="525" t="s">
        <v>624</v>
      </c>
      <c r="M526" s="455" t="str">
        <f t="shared" si="18"/>
        <v/>
      </c>
    </row>
    <row r="527" spans="1:13" ht="15.75" customHeight="1">
      <c r="A527" s="523" t="s">
        <v>626</v>
      </c>
      <c r="B527" s="474" t="s">
        <v>2971</v>
      </c>
      <c r="C527" s="523" t="s">
        <v>2972</v>
      </c>
      <c r="D527" s="453" t="str">
        <f t="shared" si="17"/>
        <v>TGO Togo</v>
      </c>
      <c r="E527" s="451" t="s">
        <v>625</v>
      </c>
      <c r="F527" s="454" t="s">
        <v>2973</v>
      </c>
      <c r="G527" s="451" t="s">
        <v>2973</v>
      </c>
      <c r="H527" s="451" t="s">
        <v>625</v>
      </c>
      <c r="I527" s="451" t="s">
        <v>625</v>
      </c>
      <c r="J527" s="454" t="str">
        <f t="shared" si="23"/>
        <v>[pt]Togo</v>
      </c>
      <c r="K527" s="454" t="str">
        <f t="shared" si="24"/>
        <v>[gr]Togo</v>
      </c>
      <c r="L527" s="525" t="s">
        <v>626</v>
      </c>
      <c r="M527" s="455" t="str">
        <f t="shared" si="18"/>
        <v/>
      </c>
    </row>
    <row r="528" spans="1:13" ht="15.75" customHeight="1">
      <c r="A528" s="523" t="s">
        <v>628</v>
      </c>
      <c r="B528" s="474" t="s">
        <v>2974</v>
      </c>
      <c r="C528" s="523" t="s">
        <v>2975</v>
      </c>
      <c r="D528" s="453" t="str">
        <f t="shared" si="17"/>
        <v>THA Thailand</v>
      </c>
      <c r="E528" s="451" t="s">
        <v>627</v>
      </c>
      <c r="F528" s="454" t="s">
        <v>2976</v>
      </c>
      <c r="G528" s="451" t="s">
        <v>2977</v>
      </c>
      <c r="H528" s="451" t="s">
        <v>2978</v>
      </c>
      <c r="I528" s="451" t="s">
        <v>2979</v>
      </c>
      <c r="J528" s="454" t="str">
        <f t="shared" si="23"/>
        <v>[pt]Thailand</v>
      </c>
      <c r="K528" s="454" t="str">
        <f t="shared" si="24"/>
        <v>[gr]Thailand</v>
      </c>
      <c r="L528" s="525" t="s">
        <v>628</v>
      </c>
      <c r="M528" s="455" t="str">
        <f t="shared" si="18"/>
        <v/>
      </c>
    </row>
    <row r="529" spans="1:13" ht="15.75" customHeight="1">
      <c r="A529" s="523" t="s">
        <v>630</v>
      </c>
      <c r="B529" s="474" t="s">
        <v>2980</v>
      </c>
      <c r="C529" s="523" t="s">
        <v>2981</v>
      </c>
      <c r="D529" s="453" t="str">
        <f t="shared" si="17"/>
        <v>TJK Tadschikistan</v>
      </c>
      <c r="E529" s="451" t="s">
        <v>2982</v>
      </c>
      <c r="F529" s="454" t="s">
        <v>2983</v>
      </c>
      <c r="G529" s="451" t="s">
        <v>2984</v>
      </c>
      <c r="H529" s="451" t="s">
        <v>2985</v>
      </c>
      <c r="I529" s="451" t="s">
        <v>629</v>
      </c>
      <c r="J529" s="454" t="str">
        <f t="shared" si="23"/>
        <v>[pt]Tadschikistan</v>
      </c>
      <c r="K529" s="454" t="str">
        <f t="shared" si="24"/>
        <v>[gr]Tadschikistan</v>
      </c>
      <c r="L529" s="525" t="s">
        <v>630</v>
      </c>
      <c r="M529" s="455" t="str">
        <f t="shared" si="18"/>
        <v/>
      </c>
    </row>
    <row r="530" spans="1:13" ht="15.75" customHeight="1">
      <c r="A530" s="523" t="s">
        <v>632</v>
      </c>
      <c r="B530" s="474" t="s">
        <v>2986</v>
      </c>
      <c r="C530" s="523" t="s">
        <v>2987</v>
      </c>
      <c r="D530" s="453" t="str">
        <f t="shared" si="17"/>
        <v>TKM Turkmenistan</v>
      </c>
      <c r="E530" s="451" t="s">
        <v>631</v>
      </c>
      <c r="F530" s="454" t="s">
        <v>2988</v>
      </c>
      <c r="G530" s="451" t="s">
        <v>2988</v>
      </c>
      <c r="H530" s="451" t="s">
        <v>2989</v>
      </c>
      <c r="I530" s="451" t="s">
        <v>2990</v>
      </c>
      <c r="J530" s="454" t="str">
        <f t="shared" si="23"/>
        <v>[pt]Turkmenistan</v>
      </c>
      <c r="K530" s="454" t="str">
        <f t="shared" si="24"/>
        <v>[gr]Turkmenistan</v>
      </c>
      <c r="L530" s="525" t="s">
        <v>632</v>
      </c>
      <c r="M530" s="455" t="str">
        <f t="shared" si="18"/>
        <v/>
      </c>
    </row>
    <row r="531" spans="1:13" ht="15.75" customHeight="1">
      <c r="A531" s="523" t="s">
        <v>634</v>
      </c>
      <c r="B531" s="474" t="s">
        <v>2991</v>
      </c>
      <c r="C531" s="523" t="s">
        <v>2992</v>
      </c>
      <c r="D531" s="453" t="str">
        <f t="shared" si="17"/>
        <v>TLS Osttimor (Timor-Leste)</v>
      </c>
      <c r="E531" s="451" t="s">
        <v>2993</v>
      </c>
      <c r="F531" s="454" t="s">
        <v>2994</v>
      </c>
      <c r="G531" s="451" t="s">
        <v>2995</v>
      </c>
      <c r="H531" s="451" t="s">
        <v>2996</v>
      </c>
      <c r="I531" s="451" t="s">
        <v>2997</v>
      </c>
      <c r="J531" s="454" t="str">
        <f t="shared" si="23"/>
        <v>[pt]Osttimor (Timor-Leste)</v>
      </c>
      <c r="K531" s="454" t="str">
        <f t="shared" si="24"/>
        <v>[gr]Osttimor (Timor-Leste)</v>
      </c>
      <c r="L531" s="525" t="s">
        <v>634</v>
      </c>
      <c r="M531" s="455" t="str">
        <f t="shared" si="18"/>
        <v/>
      </c>
    </row>
    <row r="532" spans="1:13" ht="15.75" customHeight="1">
      <c r="A532" s="523" t="s">
        <v>636</v>
      </c>
      <c r="B532" s="474" t="s">
        <v>2998</v>
      </c>
      <c r="C532" s="523" t="s">
        <v>2999</v>
      </c>
      <c r="D532" s="453" t="str">
        <f t="shared" si="17"/>
        <v>TON Tonga</v>
      </c>
      <c r="E532" s="451" t="s">
        <v>635</v>
      </c>
      <c r="F532" s="454" t="s">
        <v>3000</v>
      </c>
      <c r="G532" s="451" t="s">
        <v>3000</v>
      </c>
      <c r="H532" s="451" t="s">
        <v>635</v>
      </c>
      <c r="I532" s="451" t="s">
        <v>635</v>
      </c>
      <c r="J532" s="454" t="str">
        <f t="shared" si="23"/>
        <v>[pt]Tonga</v>
      </c>
      <c r="K532" s="454" t="str">
        <f t="shared" si="24"/>
        <v>[gr]Tonga</v>
      </c>
      <c r="L532" s="525" t="s">
        <v>636</v>
      </c>
      <c r="M532" s="455" t="str">
        <f t="shared" si="18"/>
        <v/>
      </c>
    </row>
    <row r="533" spans="1:13" ht="15.75" customHeight="1">
      <c r="A533" s="523" t="s">
        <v>638</v>
      </c>
      <c r="B533" s="474" t="s">
        <v>3001</v>
      </c>
      <c r="C533" s="523" t="s">
        <v>3002</v>
      </c>
      <c r="D533" s="453" t="str">
        <f t="shared" si="17"/>
        <v>TTO Trinidad und Tobago</v>
      </c>
      <c r="E533" s="451" t="s">
        <v>3003</v>
      </c>
      <c r="F533" s="454" t="s">
        <v>3004</v>
      </c>
      <c r="G533" s="451" t="s">
        <v>3005</v>
      </c>
      <c r="H533" s="451" t="s">
        <v>3006</v>
      </c>
      <c r="I533" s="451" t="s">
        <v>3007</v>
      </c>
      <c r="J533" s="454" t="str">
        <f t="shared" si="23"/>
        <v>[pt]Trinidad und Tobago</v>
      </c>
      <c r="K533" s="454" t="str">
        <f t="shared" si="24"/>
        <v>[gr]Trinidad und Tobago</v>
      </c>
      <c r="L533" s="525" t="s">
        <v>638</v>
      </c>
      <c r="M533" s="455" t="str">
        <f t="shared" si="18"/>
        <v/>
      </c>
    </row>
    <row r="534" spans="1:13" ht="15.75" customHeight="1">
      <c r="A534" s="523" t="s">
        <v>640</v>
      </c>
      <c r="B534" s="474" t="s">
        <v>3008</v>
      </c>
      <c r="C534" s="523" t="s">
        <v>3009</v>
      </c>
      <c r="D534" s="453" t="str">
        <f t="shared" si="17"/>
        <v>TUN Tunesien</v>
      </c>
      <c r="E534" s="451" t="s">
        <v>3010</v>
      </c>
      <c r="F534" s="454" t="s">
        <v>3011</v>
      </c>
      <c r="G534" s="451" t="s">
        <v>3011</v>
      </c>
      <c r="H534" s="451" t="s">
        <v>3012</v>
      </c>
      <c r="I534" s="451" t="s">
        <v>3013</v>
      </c>
      <c r="J534" s="454" t="str">
        <f t="shared" si="23"/>
        <v>[pt]Tunesien</v>
      </c>
      <c r="K534" s="454" t="str">
        <f t="shared" si="24"/>
        <v>[gr]Tunesien</v>
      </c>
      <c r="L534" s="525" t="s">
        <v>640</v>
      </c>
      <c r="M534" s="455" t="str">
        <f t="shared" si="18"/>
        <v/>
      </c>
    </row>
    <row r="535" spans="1:13" ht="15.75" customHeight="1">
      <c r="A535" s="523" t="s">
        <v>642</v>
      </c>
      <c r="B535" s="474" t="s">
        <v>3014</v>
      </c>
      <c r="C535" s="523" t="s">
        <v>3015</v>
      </c>
      <c r="D535" s="453" t="str">
        <f t="shared" si="17"/>
        <v>TUR Türkei</v>
      </c>
      <c r="E535" s="451" t="s">
        <v>3016</v>
      </c>
      <c r="F535" s="454" t="s">
        <v>3017</v>
      </c>
      <c r="G535" s="451" t="s">
        <v>3018</v>
      </c>
      <c r="H535" s="451" t="s">
        <v>3019</v>
      </c>
      <c r="I535" s="451" t="s">
        <v>3020</v>
      </c>
      <c r="J535" s="454" t="str">
        <f t="shared" si="23"/>
        <v>[pt]Türkei</v>
      </c>
      <c r="K535" s="454" t="str">
        <f t="shared" si="24"/>
        <v>[gr]Türkei</v>
      </c>
      <c r="L535" s="525" t="s">
        <v>642</v>
      </c>
      <c r="M535" s="455" t="str">
        <f t="shared" si="18"/>
        <v/>
      </c>
    </row>
    <row r="536" spans="1:13" ht="15.75" customHeight="1">
      <c r="A536" s="523" t="s">
        <v>644</v>
      </c>
      <c r="B536" s="474" t="s">
        <v>3021</v>
      </c>
      <c r="C536" s="523" t="s">
        <v>3022</v>
      </c>
      <c r="D536" s="453" t="str">
        <f t="shared" si="17"/>
        <v>TUV Tuvalu</v>
      </c>
      <c r="E536" s="451" t="s">
        <v>643</v>
      </c>
      <c r="F536" s="454" t="s">
        <v>3023</v>
      </c>
      <c r="G536" s="451" t="s">
        <v>3023</v>
      </c>
      <c r="H536" s="451" t="s">
        <v>643</v>
      </c>
      <c r="I536" s="451" t="s">
        <v>643</v>
      </c>
      <c r="J536" s="454" t="str">
        <f t="shared" si="23"/>
        <v>[pt]Tuvalu</v>
      </c>
      <c r="K536" s="454" t="str">
        <f t="shared" si="24"/>
        <v>[gr]Tuvalu</v>
      </c>
      <c r="L536" s="525" t="s">
        <v>644</v>
      </c>
      <c r="M536" s="455" t="str">
        <f t="shared" si="18"/>
        <v/>
      </c>
    </row>
    <row r="537" spans="1:13" ht="15.75" customHeight="1">
      <c r="A537" s="523" t="s">
        <v>646</v>
      </c>
      <c r="B537" s="474" t="s">
        <v>3024</v>
      </c>
      <c r="C537" s="523" t="s">
        <v>3025</v>
      </c>
      <c r="D537" s="453" t="str">
        <f t="shared" si="17"/>
        <v>TZA Tansania, Vereinigte Republik</v>
      </c>
      <c r="E537" s="451" t="s">
        <v>3026</v>
      </c>
      <c r="F537" s="454" t="s">
        <v>3027</v>
      </c>
      <c r="G537" s="451" t="s">
        <v>3028</v>
      </c>
      <c r="H537" s="451" t="s">
        <v>645</v>
      </c>
      <c r="I537" s="451" t="s">
        <v>3029</v>
      </c>
      <c r="J537" s="454" t="str">
        <f t="shared" si="23"/>
        <v>[pt]Tansania, Vereinigte Republik</v>
      </c>
      <c r="K537" s="454" t="str">
        <f t="shared" si="24"/>
        <v>[gr]Tansania, Vereinigte Republik</v>
      </c>
      <c r="L537" s="525" t="s">
        <v>646</v>
      </c>
      <c r="M537" s="455" t="str">
        <f t="shared" si="18"/>
        <v/>
      </c>
    </row>
    <row r="538" spans="1:13" ht="15.75" customHeight="1">
      <c r="A538" s="523" t="s">
        <v>648</v>
      </c>
      <c r="B538" s="474" t="s">
        <v>3030</v>
      </c>
      <c r="C538" s="523" t="s">
        <v>3031</v>
      </c>
      <c r="D538" s="453" t="str">
        <f t="shared" si="17"/>
        <v>UGA Uganda</v>
      </c>
      <c r="E538" s="451" t="s">
        <v>647</v>
      </c>
      <c r="F538" s="454" t="s">
        <v>3032</v>
      </c>
      <c r="G538" s="451" t="s">
        <v>3032</v>
      </c>
      <c r="H538" s="451" t="s">
        <v>647</v>
      </c>
      <c r="I538" s="451" t="s">
        <v>3033</v>
      </c>
      <c r="J538" s="454" t="str">
        <f t="shared" si="23"/>
        <v>[pt]Uganda</v>
      </c>
      <c r="K538" s="454" t="str">
        <f t="shared" si="24"/>
        <v>[gr]Uganda</v>
      </c>
      <c r="L538" s="525" t="s">
        <v>648</v>
      </c>
      <c r="M538" s="455" t="str">
        <f t="shared" si="18"/>
        <v/>
      </c>
    </row>
    <row r="539" spans="1:13" ht="15.75" customHeight="1">
      <c r="A539" s="523" t="s">
        <v>650</v>
      </c>
      <c r="B539" s="474" t="s">
        <v>3034</v>
      </c>
      <c r="C539" s="523" t="s">
        <v>3035</v>
      </c>
      <c r="D539" s="453" t="str">
        <f t="shared" si="17"/>
        <v>UKR Ukraine</v>
      </c>
      <c r="E539" s="451" t="s">
        <v>649</v>
      </c>
      <c r="F539" s="454" t="s">
        <v>3036</v>
      </c>
      <c r="G539" s="451" t="s">
        <v>3037</v>
      </c>
      <c r="H539" s="451" t="s">
        <v>3038</v>
      </c>
      <c r="I539" s="451" t="s">
        <v>649</v>
      </c>
      <c r="J539" s="454" t="str">
        <f t="shared" si="23"/>
        <v>[pt]Ukraine</v>
      </c>
      <c r="K539" s="454" t="str">
        <f t="shared" si="24"/>
        <v>[gr]Ukraine</v>
      </c>
      <c r="L539" s="525" t="s">
        <v>650</v>
      </c>
      <c r="M539" s="455" t="str">
        <f t="shared" si="18"/>
        <v/>
      </c>
    </row>
    <row r="540" spans="1:13" ht="15.75" customHeight="1">
      <c r="A540" s="523" t="s">
        <v>652</v>
      </c>
      <c r="B540" s="474" t="s">
        <v>3039</v>
      </c>
      <c r="C540" s="523" t="s">
        <v>3040</v>
      </c>
      <c r="D540" s="453" t="str">
        <f t="shared" si="17"/>
        <v>URY Uruguay</v>
      </c>
      <c r="E540" s="451" t="s">
        <v>651</v>
      </c>
      <c r="F540" s="454" t="s">
        <v>3041</v>
      </c>
      <c r="G540" s="451" t="s">
        <v>3041</v>
      </c>
      <c r="H540" s="451" t="s">
        <v>651</v>
      </c>
      <c r="I540" s="451" t="s">
        <v>651</v>
      </c>
      <c r="J540" s="454" t="str">
        <f t="shared" si="23"/>
        <v>[pt]Uruguay</v>
      </c>
      <c r="K540" s="454" t="str">
        <f t="shared" si="24"/>
        <v>[gr]Uruguay</v>
      </c>
      <c r="L540" s="525" t="s">
        <v>652</v>
      </c>
      <c r="M540" s="455" t="str">
        <f t="shared" si="18"/>
        <v/>
      </c>
    </row>
    <row r="541" spans="1:13" ht="15.75" customHeight="1">
      <c r="A541" s="523" t="s">
        <v>654</v>
      </c>
      <c r="B541" s="474" t="s">
        <v>3042</v>
      </c>
      <c r="C541" s="523" t="s">
        <v>3043</v>
      </c>
      <c r="D541" s="453" t="str">
        <f t="shared" si="17"/>
        <v>USA Vereinigte Staaten von Amerika</v>
      </c>
      <c r="E541" s="451" t="s">
        <v>3044</v>
      </c>
      <c r="F541" s="454" t="s">
        <v>3045</v>
      </c>
      <c r="G541" s="451" t="s">
        <v>3046</v>
      </c>
      <c r="H541" s="451" t="s">
        <v>3047</v>
      </c>
      <c r="I541" s="451" t="s">
        <v>3048</v>
      </c>
      <c r="J541" s="454" t="str">
        <f t="shared" si="23"/>
        <v>[pt]Vereinigte Staaten von Amerika</v>
      </c>
      <c r="K541" s="454" t="str">
        <f t="shared" si="24"/>
        <v>[gr]Vereinigte Staaten von Amerika</v>
      </c>
      <c r="L541" s="525" t="s">
        <v>654</v>
      </c>
      <c r="M541" s="455" t="str">
        <f t="shared" si="18"/>
        <v/>
      </c>
    </row>
    <row r="542" spans="1:13" ht="15.75" customHeight="1">
      <c r="A542" s="523" t="s">
        <v>656</v>
      </c>
      <c r="B542" s="474" t="s">
        <v>3049</v>
      </c>
      <c r="C542" s="523" t="s">
        <v>3050</v>
      </c>
      <c r="D542" s="453" t="str">
        <f t="shared" si="17"/>
        <v>UZB Usbekistan</v>
      </c>
      <c r="E542" s="451" t="s">
        <v>3051</v>
      </c>
      <c r="F542" s="454" t="s">
        <v>3052</v>
      </c>
      <c r="G542" s="451" t="s">
        <v>3052</v>
      </c>
      <c r="H542" s="451" t="s">
        <v>3053</v>
      </c>
      <c r="I542" s="451" t="s">
        <v>3054</v>
      </c>
      <c r="J542" s="454" t="str">
        <f t="shared" si="23"/>
        <v>[pt]Usbekistan</v>
      </c>
      <c r="K542" s="454" t="str">
        <f t="shared" si="24"/>
        <v>[gr]Usbekistan</v>
      </c>
      <c r="L542" s="525" t="s">
        <v>656</v>
      </c>
      <c r="M542" s="455" t="str">
        <f t="shared" si="18"/>
        <v/>
      </c>
    </row>
    <row r="543" spans="1:13" ht="15.75" customHeight="1">
      <c r="A543" s="523" t="s">
        <v>658</v>
      </c>
      <c r="B543" s="474" t="s">
        <v>3055</v>
      </c>
      <c r="C543" s="523" t="s">
        <v>3056</v>
      </c>
      <c r="D543" s="453" t="str">
        <f t="shared" si="17"/>
        <v>VCT St. Vincent und die Grenadinen</v>
      </c>
      <c r="E543" s="451" t="s">
        <v>3057</v>
      </c>
      <c r="F543" s="454" t="s">
        <v>3058</v>
      </c>
      <c r="G543" s="451" t="s">
        <v>3059</v>
      </c>
      <c r="H543" s="451" t="s">
        <v>3060</v>
      </c>
      <c r="I543" s="451" t="s">
        <v>3061</v>
      </c>
      <c r="J543" s="454" t="str">
        <f t="shared" si="23"/>
        <v>[pt]St. Vincent und die Grenadinen</v>
      </c>
      <c r="K543" s="454" t="str">
        <f t="shared" si="24"/>
        <v>[gr]St. Vincent und die Grenadinen</v>
      </c>
      <c r="L543" s="525" t="s">
        <v>658</v>
      </c>
      <c r="M543" s="455" t="str">
        <f t="shared" si="18"/>
        <v/>
      </c>
    </row>
    <row r="544" spans="1:13" ht="15.75" customHeight="1">
      <c r="A544" s="523" t="s">
        <v>660</v>
      </c>
      <c r="B544" s="474" t="s">
        <v>3062</v>
      </c>
      <c r="C544" s="523" t="s">
        <v>3063</v>
      </c>
      <c r="D544" s="453" t="str">
        <f t="shared" si="17"/>
        <v>VEN Venezuela</v>
      </c>
      <c r="E544" s="451" t="s">
        <v>3064</v>
      </c>
      <c r="F544" s="454" t="s">
        <v>3065</v>
      </c>
      <c r="G544" s="451" t="s">
        <v>3066</v>
      </c>
      <c r="H544" s="451" t="s">
        <v>3064</v>
      </c>
      <c r="I544" s="451" t="s">
        <v>3067</v>
      </c>
      <c r="J544" s="454" t="str">
        <f t="shared" si="23"/>
        <v>[pt]Venezuela</v>
      </c>
      <c r="K544" s="454" t="str">
        <f t="shared" si="24"/>
        <v>[gr]Venezuela</v>
      </c>
      <c r="L544" s="525" t="s">
        <v>660</v>
      </c>
      <c r="M544" s="455" t="str">
        <f t="shared" si="18"/>
        <v/>
      </c>
    </row>
    <row r="545" spans="1:13" ht="15.75" customHeight="1">
      <c r="A545" s="523" t="s">
        <v>662</v>
      </c>
      <c r="B545" s="474" t="s">
        <v>3068</v>
      </c>
      <c r="C545" s="523" t="s">
        <v>3069</v>
      </c>
      <c r="D545" s="453" t="str">
        <f t="shared" si="17"/>
        <v>VGB Britische Jungferninseln</v>
      </c>
      <c r="E545" s="451" t="s">
        <v>3070</v>
      </c>
      <c r="F545" s="454" t="s">
        <v>3071</v>
      </c>
      <c r="G545" s="451" t="s">
        <v>3072</v>
      </c>
      <c r="H545" s="451" t="s">
        <v>3073</v>
      </c>
      <c r="I545" s="451" t="s">
        <v>3074</v>
      </c>
      <c r="J545" s="454" t="str">
        <f t="shared" si="23"/>
        <v>[pt]Britische Jungferninseln</v>
      </c>
      <c r="K545" s="454" t="str">
        <f t="shared" si="24"/>
        <v>[gr]Britische Jungferninseln</v>
      </c>
      <c r="L545" s="525" t="s">
        <v>662</v>
      </c>
      <c r="M545" s="455" t="str">
        <f t="shared" si="18"/>
        <v/>
      </c>
    </row>
    <row r="546" spans="1:13" ht="15.75" customHeight="1">
      <c r="A546" s="523" t="s">
        <v>664</v>
      </c>
      <c r="B546" s="474" t="s">
        <v>3075</v>
      </c>
      <c r="C546" s="523" t="s">
        <v>3076</v>
      </c>
      <c r="D546" s="453" t="str">
        <f t="shared" si="17"/>
        <v>VIR Amerikanische Jungferninseln</v>
      </c>
      <c r="E546" s="451" t="s">
        <v>3077</v>
      </c>
      <c r="F546" s="454" t="s">
        <v>3078</v>
      </c>
      <c r="G546" s="451" t="s">
        <v>3079</v>
      </c>
      <c r="H546" s="451" t="s">
        <v>3080</v>
      </c>
      <c r="I546" s="451" t="s">
        <v>3081</v>
      </c>
      <c r="J546" s="454" t="str">
        <f t="shared" si="23"/>
        <v>[pt]Amerikanische Jungferninseln</v>
      </c>
      <c r="K546" s="454" t="str">
        <f t="shared" si="24"/>
        <v>[gr]Amerikanische Jungferninseln</v>
      </c>
      <c r="L546" s="525" t="s">
        <v>664</v>
      </c>
      <c r="M546" s="455" t="str">
        <f t="shared" si="18"/>
        <v/>
      </c>
    </row>
    <row r="547" spans="1:13" ht="15.75" customHeight="1">
      <c r="A547" s="523" t="s">
        <v>666</v>
      </c>
      <c r="B547" s="474" t="s">
        <v>3082</v>
      </c>
      <c r="C547" s="523" t="s">
        <v>3083</v>
      </c>
      <c r="D547" s="453" t="str">
        <f t="shared" si="17"/>
        <v>VNM Vietnam</v>
      </c>
      <c r="E547" s="451" t="s">
        <v>665</v>
      </c>
      <c r="F547" s="454" t="s">
        <v>3084</v>
      </c>
      <c r="G547" s="451" t="s">
        <v>3085</v>
      </c>
      <c r="H547" s="451" t="s">
        <v>665</v>
      </c>
      <c r="I547" s="451" t="s">
        <v>665</v>
      </c>
      <c r="J547" s="454" t="str">
        <f t="shared" si="23"/>
        <v>[pt]Vietnam</v>
      </c>
      <c r="K547" s="454" t="str">
        <f t="shared" si="24"/>
        <v>[gr]Vietnam</v>
      </c>
      <c r="L547" s="525" t="s">
        <v>666</v>
      </c>
      <c r="M547" s="455" t="str">
        <f t="shared" si="18"/>
        <v/>
      </c>
    </row>
    <row r="548" spans="1:13" ht="15.75" customHeight="1">
      <c r="A548" s="523" t="s">
        <v>668</v>
      </c>
      <c r="B548" s="474" t="s">
        <v>3086</v>
      </c>
      <c r="C548" s="523" t="s">
        <v>3087</v>
      </c>
      <c r="D548" s="453" t="str">
        <f t="shared" si="17"/>
        <v>VUT Vanuatu</v>
      </c>
      <c r="E548" s="451" t="s">
        <v>667</v>
      </c>
      <c r="F548" s="454" t="s">
        <v>3088</v>
      </c>
      <c r="G548" s="451" t="s">
        <v>3088</v>
      </c>
      <c r="H548" s="451" t="s">
        <v>667</v>
      </c>
      <c r="I548" s="451" t="s">
        <v>667</v>
      </c>
      <c r="J548" s="454" t="str">
        <f t="shared" si="23"/>
        <v>[pt]Vanuatu</v>
      </c>
      <c r="K548" s="454" t="str">
        <f t="shared" si="24"/>
        <v>[gr]Vanuatu</v>
      </c>
      <c r="L548" s="525" t="s">
        <v>668</v>
      </c>
      <c r="M548" s="455" t="str">
        <f t="shared" si="18"/>
        <v/>
      </c>
    </row>
    <row r="549" spans="1:13" ht="15.75" customHeight="1">
      <c r="A549" s="523" t="s">
        <v>670</v>
      </c>
      <c r="B549" s="474" t="s">
        <v>3089</v>
      </c>
      <c r="C549" s="523" t="s">
        <v>3090</v>
      </c>
      <c r="D549" s="453" t="str">
        <f t="shared" si="17"/>
        <v>WSM Samoa</v>
      </c>
      <c r="E549" s="451" t="s">
        <v>669</v>
      </c>
      <c r="F549" s="454" t="s">
        <v>3091</v>
      </c>
      <c r="G549" s="451" t="s">
        <v>3091</v>
      </c>
      <c r="H549" s="451" t="s">
        <v>669</v>
      </c>
      <c r="I549" s="451" t="s">
        <v>669</v>
      </c>
      <c r="J549" s="454" t="str">
        <f t="shared" si="23"/>
        <v>[pt]Samoa</v>
      </c>
      <c r="K549" s="454" t="str">
        <f t="shared" si="24"/>
        <v>[gr]Samoa</v>
      </c>
      <c r="L549" s="525" t="s">
        <v>670</v>
      </c>
      <c r="M549" s="455" t="str">
        <f t="shared" si="18"/>
        <v/>
      </c>
    </row>
    <row r="550" spans="1:13" ht="15.75" customHeight="1">
      <c r="A550" s="474" t="s">
        <v>672</v>
      </c>
      <c r="B550" s="474"/>
      <c r="C550" s="474" t="s">
        <v>3092</v>
      </c>
      <c r="D550" s="453" t="str">
        <f t="shared" si="17"/>
        <v>XKX Kosovo</v>
      </c>
      <c r="E550" s="451" t="s">
        <v>671</v>
      </c>
      <c r="F550" s="454" t="s">
        <v>671</v>
      </c>
      <c r="G550" s="451" t="s">
        <v>671</v>
      </c>
      <c r="H550" s="451" t="s">
        <v>671</v>
      </c>
      <c r="I550" s="451" t="s">
        <v>671</v>
      </c>
      <c r="J550" s="454" t="str">
        <f t="shared" si="23"/>
        <v>[pt]Kosovo</v>
      </c>
      <c r="K550" s="454" t="str">
        <f t="shared" si="24"/>
        <v>[gr]Kosovo</v>
      </c>
      <c r="L550" s="525" t="s">
        <v>672</v>
      </c>
      <c r="M550" s="455" t="str">
        <f t="shared" si="18"/>
        <v/>
      </c>
    </row>
    <row r="551" spans="1:13" ht="15.75" customHeight="1">
      <c r="A551" s="523" t="s">
        <v>674</v>
      </c>
      <c r="B551" s="474" t="s">
        <v>3093</v>
      </c>
      <c r="C551" s="523" t="s">
        <v>3094</v>
      </c>
      <c r="D551" s="453" t="str">
        <f t="shared" si="17"/>
        <v>YEM Jemen</v>
      </c>
      <c r="E551" s="451" t="s">
        <v>3095</v>
      </c>
      <c r="F551" s="454" t="s">
        <v>3096</v>
      </c>
      <c r="G551" s="451" t="s">
        <v>3096</v>
      </c>
      <c r="H551" s="451" t="s">
        <v>3097</v>
      </c>
      <c r="I551" s="451" t="s">
        <v>3097</v>
      </c>
      <c r="J551" s="454" t="str">
        <f t="shared" si="23"/>
        <v>[pt]Jemen</v>
      </c>
      <c r="K551" s="454" t="str">
        <f t="shared" si="24"/>
        <v>[gr]Jemen</v>
      </c>
      <c r="L551" s="525" t="s">
        <v>674</v>
      </c>
      <c r="M551" s="455" t="str">
        <f t="shared" si="18"/>
        <v/>
      </c>
    </row>
    <row r="552" spans="1:13" ht="15.75" customHeight="1">
      <c r="A552" s="523" t="s">
        <v>676</v>
      </c>
      <c r="B552" s="474" t="s">
        <v>3098</v>
      </c>
      <c r="C552" s="523" t="s">
        <v>3099</v>
      </c>
      <c r="D552" s="453" t="str">
        <f t="shared" si="17"/>
        <v>ZAF Südafrika</v>
      </c>
      <c r="E552" s="451" t="s">
        <v>3100</v>
      </c>
      <c r="F552" s="454" t="s">
        <v>3101</v>
      </c>
      <c r="G552" s="451" t="s">
        <v>3102</v>
      </c>
      <c r="H552" s="451" t="s">
        <v>3103</v>
      </c>
      <c r="I552" s="451" t="s">
        <v>3104</v>
      </c>
      <c r="J552" s="454" t="str">
        <f t="shared" si="23"/>
        <v>[pt]Südafrika</v>
      </c>
      <c r="K552" s="454" t="str">
        <f t="shared" si="24"/>
        <v>[gr]Südafrika</v>
      </c>
      <c r="L552" s="525" t="s">
        <v>676</v>
      </c>
      <c r="M552" s="455" t="str">
        <f t="shared" si="18"/>
        <v/>
      </c>
    </row>
    <row r="553" spans="1:13" ht="15.75" customHeight="1">
      <c r="A553" s="523" t="s">
        <v>678</v>
      </c>
      <c r="B553" s="474" t="s">
        <v>3105</v>
      </c>
      <c r="C553" s="523" t="s">
        <v>3106</v>
      </c>
      <c r="D553" s="453" t="str">
        <f t="shared" si="17"/>
        <v>ZMB Sambia</v>
      </c>
      <c r="E553" s="451" t="s">
        <v>3107</v>
      </c>
      <c r="F553" s="454" t="s">
        <v>3108</v>
      </c>
      <c r="G553" s="451" t="s">
        <v>3108</v>
      </c>
      <c r="H553" s="451" t="s">
        <v>677</v>
      </c>
      <c r="I553" s="451" t="s">
        <v>3109</v>
      </c>
      <c r="J553" s="454" t="str">
        <f t="shared" ref="J553:J560" si="25">"[pt]"&amp;E553</f>
        <v>[pt]Sambia</v>
      </c>
      <c r="K553" s="454" t="str">
        <f t="shared" ref="K553:K560" si="26">"[gr]"&amp;E553</f>
        <v>[gr]Sambia</v>
      </c>
      <c r="L553" s="525" t="s">
        <v>678</v>
      </c>
      <c r="M553" s="455" t="str">
        <f t="shared" si="18"/>
        <v/>
      </c>
    </row>
    <row r="554" spans="1:13" ht="15.75" customHeight="1">
      <c r="A554" s="523" t="s">
        <v>680</v>
      </c>
      <c r="B554" s="474" t="s">
        <v>3110</v>
      </c>
      <c r="C554" s="523" t="s">
        <v>3111</v>
      </c>
      <c r="D554" s="453" t="str">
        <f t="shared" si="17"/>
        <v>ZWE Simbabwe</v>
      </c>
      <c r="E554" s="451" t="s">
        <v>3112</v>
      </c>
      <c r="F554" s="454" t="s">
        <v>3113</v>
      </c>
      <c r="G554" s="451" t="s">
        <v>3113</v>
      </c>
      <c r="H554" s="451" t="s">
        <v>3114</v>
      </c>
      <c r="I554" s="451" t="s">
        <v>679</v>
      </c>
      <c r="J554" s="454" t="str">
        <f t="shared" si="25"/>
        <v>[pt]Simbabwe</v>
      </c>
      <c r="K554" s="454" t="str">
        <f t="shared" si="26"/>
        <v>[gr]Simbabwe</v>
      </c>
      <c r="L554" s="525" t="s">
        <v>680</v>
      </c>
      <c r="M554" s="455" t="str">
        <f t="shared" si="18"/>
        <v/>
      </c>
    </row>
    <row r="555" spans="1:13" ht="14.1" customHeight="1">
      <c r="D555" s="453" t="str">
        <f t="shared" ref="D555:D561" si="27">HLOOKUP($C$1,$E$1:$X$4910,ROW(D555))</f>
        <v>Durchschnitt Afrika</v>
      </c>
      <c r="E555" s="451" t="s">
        <v>3115</v>
      </c>
      <c r="F555" s="454" t="s">
        <v>3116</v>
      </c>
      <c r="G555" s="451" t="s">
        <v>681</v>
      </c>
      <c r="H555" s="451" t="s">
        <v>3117</v>
      </c>
      <c r="J555" s="451" t="str">
        <f t="shared" si="25"/>
        <v>[pt]Durchschnitt Afrika</v>
      </c>
      <c r="K555" s="451" t="str">
        <f t="shared" si="26"/>
        <v>[gr]Durchschnitt Afrika</v>
      </c>
      <c r="L555" s="525" t="s">
        <v>681</v>
      </c>
      <c r="M555" s="455" t="str">
        <f t="shared" si="18"/>
        <v>nix</v>
      </c>
    </row>
    <row r="556" spans="1:13" ht="14.1" customHeight="1">
      <c r="D556" s="453" t="str">
        <f t="shared" si="27"/>
        <v>Durchschnitt Amerika</v>
      </c>
      <c r="E556" s="451" t="s">
        <v>3118</v>
      </c>
      <c r="F556" s="454" t="s">
        <v>3119</v>
      </c>
      <c r="G556" s="451" t="s">
        <v>682</v>
      </c>
      <c r="H556" s="451" t="s">
        <v>3120</v>
      </c>
      <c r="J556" s="451" t="str">
        <f t="shared" si="25"/>
        <v>[pt]Durchschnitt Amerika</v>
      </c>
      <c r="K556" s="451" t="str">
        <f t="shared" si="26"/>
        <v>[gr]Durchschnitt Amerika</v>
      </c>
      <c r="L556" s="525" t="s">
        <v>682</v>
      </c>
      <c r="M556" s="455" t="str">
        <f t="shared" si="18"/>
        <v>nix</v>
      </c>
    </row>
    <row r="557" spans="1:13" ht="14.1" customHeight="1">
      <c r="D557" s="453" t="str">
        <f t="shared" si="27"/>
        <v>Durchschnitt Asien</v>
      </c>
      <c r="E557" s="451" t="s">
        <v>3121</v>
      </c>
      <c r="F557" s="454" t="s">
        <v>3122</v>
      </c>
      <c r="G557" s="451" t="s">
        <v>683</v>
      </c>
      <c r="H557" s="451" t="s">
        <v>3123</v>
      </c>
      <c r="J557" s="451" t="str">
        <f t="shared" si="25"/>
        <v>[pt]Durchschnitt Asien</v>
      </c>
      <c r="K557" s="451" t="str">
        <f t="shared" si="26"/>
        <v>[gr]Durchschnitt Asien</v>
      </c>
      <c r="L557" s="525" t="s">
        <v>683</v>
      </c>
      <c r="M557" s="455" t="str">
        <f t="shared" si="18"/>
        <v>nix</v>
      </c>
    </row>
    <row r="558" spans="1:13" ht="14.1" customHeight="1">
      <c r="D558" s="453" t="str">
        <f t="shared" si="27"/>
        <v>Durchschnitt Europa</v>
      </c>
      <c r="E558" s="451" t="s">
        <v>3124</v>
      </c>
      <c r="F558" s="454" t="s">
        <v>3125</v>
      </c>
      <c r="G558" s="451" t="s">
        <v>684</v>
      </c>
      <c r="H558" s="451" t="s">
        <v>3126</v>
      </c>
      <c r="J558" s="451" t="str">
        <f t="shared" si="25"/>
        <v>[pt]Durchschnitt Europa</v>
      </c>
      <c r="K558" s="451" t="str">
        <f t="shared" si="26"/>
        <v>[gr]Durchschnitt Europa</v>
      </c>
      <c r="L558" s="525" t="s">
        <v>684</v>
      </c>
      <c r="M558" s="455" t="str">
        <f t="shared" si="18"/>
        <v>nix</v>
      </c>
    </row>
    <row r="559" spans="1:13" ht="14.1" customHeight="1">
      <c r="D559" s="453" t="str">
        <f t="shared" si="27"/>
        <v>Durchschnitt Ozeanien</v>
      </c>
      <c r="E559" s="451" t="s">
        <v>3127</v>
      </c>
      <c r="F559" s="454" t="s">
        <v>3128</v>
      </c>
      <c r="G559" s="451" t="s">
        <v>685</v>
      </c>
      <c r="H559" s="451" t="s">
        <v>3129</v>
      </c>
      <c r="J559" s="451" t="str">
        <f t="shared" si="25"/>
        <v>[pt]Durchschnitt Ozeanien</v>
      </c>
      <c r="K559" s="451" t="str">
        <f t="shared" si="26"/>
        <v>[gr]Durchschnitt Ozeanien</v>
      </c>
      <c r="L559" s="525" t="s">
        <v>685</v>
      </c>
      <c r="M559" s="455" t="str">
        <f t="shared" si="18"/>
        <v>nix</v>
      </c>
    </row>
    <row r="560" spans="1:13" ht="14.1" customHeight="1">
      <c r="D560" s="453" t="str">
        <f t="shared" si="27"/>
        <v>Durchschnitt Welt</v>
      </c>
      <c r="E560" s="451" t="s">
        <v>3130</v>
      </c>
      <c r="F560" s="454" t="s">
        <v>3131</v>
      </c>
      <c r="H560" s="451" t="s">
        <v>3132</v>
      </c>
      <c r="J560" s="451" t="str">
        <f t="shared" si="25"/>
        <v>[pt]Durchschnitt Welt</v>
      </c>
      <c r="K560" s="451" t="str">
        <f t="shared" si="26"/>
        <v>[gr]Durchschnitt Welt</v>
      </c>
      <c r="L560" s="527" t="s">
        <v>686</v>
      </c>
      <c r="M560" s="455" t="str">
        <f t="shared" si="18"/>
        <v>nix</v>
      </c>
    </row>
    <row r="561" spans="4:13" ht="14.1" customHeight="1">
      <c r="D561" s="453" t="str">
        <f t="shared" si="27"/>
        <v>Überwiegende Herkunft restlicher Lieferanten</v>
      </c>
      <c r="E561" s="451" t="s">
        <v>1814</v>
      </c>
      <c r="F561" s="454" t="s">
        <v>3133</v>
      </c>
      <c r="H561" s="451" t="s">
        <v>3134</v>
      </c>
      <c r="M561" s="455" t="str">
        <f t="shared" si="18"/>
        <v/>
      </c>
    </row>
    <row r="65535" ht="12.75" customHeight="1"/>
    <row r="65536" ht="12.75" customHeight="1"/>
  </sheetData>
  <sheetProtection algorithmName="SHA-512" hashValue="zdo4GwsYTrfBtpBEIEQqKanuS8yo8esWciW4+RKFdjyGvjUAY1yvv3BXfi5L+iHmndnacXefPRqMltOSUAJRgQ==" saltValue="27BylyDybFrrCZeio3p3/A==" spinCount="100000" sheet="1" selectLockedCells="1" selectUnlockedCells="1"/>
  <hyperlinks>
    <hyperlink ref="F55" r:id="rId1" xr:uid="{00000000-0004-0000-0D00-000000000000}"/>
    <hyperlink ref="H55" r:id="rId2" xr:uid="{00000000-0004-0000-0D00-000001000000}"/>
    <hyperlink ref="F56" r:id="rId3" xr:uid="{00000000-0004-0000-0D00-000002000000}"/>
    <hyperlink ref="H56" r:id="rId4" xr:uid="{00000000-0004-0000-0D00-000003000000}"/>
    <hyperlink ref="G57" r:id="rId5" xr:uid="{00000000-0004-0000-0D00-000004000000}"/>
    <hyperlink ref="H57" r:id="rId6" xr:uid="{00000000-0004-0000-0D00-000005000000}"/>
    <hyperlink ref="E58" r:id="rId7" xr:uid="{00000000-0004-0000-0D00-000006000000}"/>
    <hyperlink ref="G58" r:id="rId8" xr:uid="{00000000-0004-0000-0D00-000007000000}"/>
    <hyperlink ref="H58" r:id="rId9" xr:uid="{00000000-0004-0000-0D00-000008000000}"/>
  </hyperlinks>
  <pageMargins left="0.78749999999999998" right="0.78749999999999998" top="1.0527777777777778" bottom="1.0527777777777778" header="0.78749999999999998" footer="0.78749999999999998"/>
  <pageSetup paperSize="9" firstPageNumber="0" orientation="portrait" horizontalDpi="300" verticalDpi="300" r:id="rId10"/>
  <headerFooter alignWithMargins="0">
    <oddHeader>&amp;C&amp;"Times New Roman,Regular"&amp;12&amp;A</oddHeader>
    <oddFooter>&amp;C&amp;"Times New Roman,Regular"&amp;12Seite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5</vt:i4>
      </vt:variant>
    </vt:vector>
  </HeadingPairs>
  <TitlesOfParts>
    <vt:vector size="19" baseType="lpstr">
      <vt:lpstr>0. Intro</vt:lpstr>
      <vt:lpstr>1. General</vt:lpstr>
      <vt:lpstr>2. Company Facts</vt:lpstr>
      <vt:lpstr>3. Calc</vt:lpstr>
      <vt:lpstr>9. Weighting</vt:lpstr>
      <vt:lpstr>4. ECG-Matrix</vt:lpstr>
      <vt:lpstr>5. Values</vt:lpstr>
      <vt:lpstr>6. Stakeholder</vt:lpstr>
      <vt:lpstr>7. Topics</vt:lpstr>
      <vt:lpstr>8. Descr.Weighting</vt:lpstr>
      <vt:lpstr>10. Industry</vt:lpstr>
      <vt:lpstr>11.Region</vt:lpstr>
      <vt:lpstr>12.ppp data</vt:lpstr>
      <vt:lpstr>12.lan</vt:lpstr>
      <vt:lpstr>Branche</vt:lpstr>
      <vt:lpstr>Branchen</vt:lpstr>
      <vt:lpstr>CountryCodes</vt:lpstr>
      <vt:lpstr>JaNein</vt:lpstr>
      <vt:lpstr>Regionen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Usuario6</dc:creator>
  <cp:lastModifiedBy>Roland</cp:lastModifiedBy>
  <dcterms:created xsi:type="dcterms:W3CDTF">2018-07-24T07:18:55Z</dcterms:created>
  <dcterms:modified xsi:type="dcterms:W3CDTF">2018-10-29T22:30:19Z</dcterms:modified>
</cp:coreProperties>
</file>